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8835" activeTab="1"/>
  </bookViews>
  <sheets>
    <sheet name="Injector Requirements" sheetId="1" r:id="rId1"/>
    <sheet name="Power" sheetId="2" r:id="rId2"/>
    <sheet name="Injectors" sheetId="3" r:id="rId3"/>
    <sheet name="Injectors 2" sheetId="4" r:id="rId4"/>
    <sheet name="Pumps" sheetId="5" r:id="rId5"/>
    <sheet name="O2" sheetId="6" r:id="rId6"/>
    <sheet name="Air" sheetId="7" r:id="rId7"/>
    <sheet name="Timing" sheetId="8" r:id="rId8"/>
  </sheets>
  <definedNames>
    <definedName name="TABLE" localSheetId="2">'Injectors'!$A$2:$I$60</definedName>
    <definedName name="TABLE" localSheetId="4">'Pumps'!$A$4:$K$17</definedName>
    <definedName name="TABLE_2" localSheetId="2">'Injectors'!$A$2:$I$60</definedName>
    <definedName name="TABLE_2" localSheetId="4">'Pumps'!$A$19:$K$32</definedName>
    <definedName name="TABLE_3" localSheetId="2">'Injectors'!$A$2:$I$60</definedName>
    <definedName name="TABLE_4" localSheetId="2">'Injectors'!$A$2:$I$60</definedName>
    <definedName name="TABLE_5" localSheetId="2">'Injectors'!$A$1:$K$60</definedName>
  </definedNames>
  <calcPr fullCalcOnLoad="1"/>
</workbook>
</file>

<file path=xl/comments1.xml><?xml version="1.0" encoding="utf-8"?>
<comments xmlns="http://schemas.openxmlformats.org/spreadsheetml/2006/main">
  <authors>
    <author>Jim Roal</author>
    <author>Jimbo</author>
  </authors>
  <commentList>
    <comment ref="J12" authorId="0">
      <text>
        <r>
          <rPr>
            <b/>
            <sz val="8"/>
            <rFont val="Tahoma"/>
            <family val="0"/>
          </rPr>
          <t>Jim Roal:</t>
        </r>
        <r>
          <rPr>
            <sz val="8"/>
            <rFont val="Tahoma"/>
            <family val="0"/>
          </rPr>
          <t xml:space="preserve">
Fuel Management Unit.  This is the common method most aftermarket supercharger kits will use to get the proper fuel delivery.</t>
        </r>
      </text>
    </comment>
    <comment ref="J10" authorId="0">
      <text>
        <r>
          <rPr>
            <b/>
            <sz val="8"/>
            <rFont val="Tahoma"/>
            <family val="0"/>
          </rPr>
          <t>Jim Roal:</t>
        </r>
        <r>
          <rPr>
            <sz val="8"/>
            <rFont val="Tahoma"/>
            <family val="0"/>
          </rPr>
          <t xml:space="preserve">
This is the flow the injector will be capable of with the added fuel pressure the FMU creates.</t>
        </r>
      </text>
    </comment>
    <comment ref="J9" authorId="0">
      <text>
        <r>
          <rPr>
            <b/>
            <sz val="8"/>
            <rFont val="Tahoma"/>
            <family val="0"/>
          </rPr>
          <t>Jim Roal:</t>
        </r>
        <r>
          <rPr>
            <sz val="8"/>
            <rFont val="Tahoma"/>
            <family val="0"/>
          </rPr>
          <t xml:space="preserve">
Current injector size.</t>
        </r>
      </text>
    </comment>
    <comment ref="J14" authorId="0">
      <text>
        <r>
          <rPr>
            <b/>
            <sz val="8"/>
            <rFont val="Tahoma"/>
            <family val="0"/>
          </rPr>
          <t>Jim Roal:</t>
        </r>
        <r>
          <rPr>
            <sz val="8"/>
            <rFont val="Tahoma"/>
            <family val="0"/>
          </rPr>
          <t xml:space="preserve">
This is the power this fuel system will support.  You may not get this power but the fuel system can support this much power.</t>
        </r>
      </text>
    </comment>
    <comment ref="J15" authorId="0">
      <text>
        <r>
          <rPr>
            <b/>
            <sz val="8"/>
            <rFont val="Tahoma"/>
            <family val="0"/>
          </rPr>
          <t>Jim Roal:</t>
        </r>
        <r>
          <rPr>
            <sz val="8"/>
            <rFont val="Tahoma"/>
            <family val="0"/>
          </rPr>
          <t xml:space="preserve">
This is the fuel pressure you should have at the boost pressure entered above.</t>
        </r>
      </text>
    </comment>
    <comment ref="J16" authorId="0">
      <text>
        <r>
          <rPr>
            <b/>
            <sz val="8"/>
            <rFont val="Tahoma"/>
            <family val="0"/>
          </rPr>
          <t>Jim Roal:</t>
        </r>
        <r>
          <rPr>
            <sz val="8"/>
            <rFont val="Tahoma"/>
            <family val="0"/>
          </rPr>
          <t xml:space="preserve">
You should have at least this size fuel pump to support this system.  You can go larger than this too but this is the minimum requirement.  In general, your fuel pump capacity will need to increase by about 1.5lph for every PSI over the rate pressure.  Once you get near 90psi, that requirement goes up substantially.  Few pumps can deliver anywhere near rated flow at 80psi.  Most stop all together by 90psi to 100psi.</t>
        </r>
      </text>
    </comment>
    <comment ref="H2" authorId="0">
      <text>
        <r>
          <rPr>
            <b/>
            <sz val="8"/>
            <rFont val="Tahoma"/>
            <family val="0"/>
          </rPr>
          <t>Jim Roal:</t>
        </r>
        <r>
          <rPr>
            <sz val="8"/>
            <rFont val="Tahoma"/>
            <family val="0"/>
          </rPr>
          <t xml:space="preserve">
This is the flow the injector will be capable of if using the FMU in cell K20 at the boost pressure in cell K19.  
Note: This formula does not work properly at boost pressures below 4psi.</t>
        </r>
      </text>
    </comment>
    <comment ref="J28" authorId="0">
      <text>
        <r>
          <rPr>
            <b/>
            <sz val="8"/>
            <rFont val="Tahoma"/>
            <family val="0"/>
          </rPr>
          <t>Jim Roal:</t>
        </r>
        <r>
          <rPr>
            <sz val="8"/>
            <rFont val="Tahoma"/>
            <family val="0"/>
          </rPr>
          <t xml:space="preserve">
This is used throughout the worksheet.  0.55 is typical.</t>
        </r>
      </text>
    </comment>
    <comment ref="J29" authorId="0">
      <text>
        <r>
          <rPr>
            <b/>
            <sz val="8"/>
            <rFont val="Tahoma"/>
            <family val="0"/>
          </rPr>
          <t>Jim Roal:</t>
        </r>
        <r>
          <rPr>
            <sz val="8"/>
            <rFont val="Tahoma"/>
            <family val="0"/>
          </rPr>
          <t xml:space="preserve">
This is the number of cylinders if you have one injector per cylinder.</t>
        </r>
      </text>
    </comment>
    <comment ref="L28" authorId="0">
      <text>
        <r>
          <rPr>
            <b/>
            <sz val="8"/>
            <rFont val="Tahoma"/>
            <family val="0"/>
          </rPr>
          <t>Jim Roal:</t>
        </r>
        <r>
          <rPr>
            <sz val="8"/>
            <rFont val="Tahoma"/>
            <family val="0"/>
          </rPr>
          <t xml:space="preserve">
pounds of fuel per horsepower hour</t>
        </r>
      </text>
    </comment>
    <comment ref="K28" authorId="0">
      <text>
        <r>
          <rPr>
            <b/>
            <sz val="8"/>
            <rFont val="Tahoma"/>
            <family val="0"/>
          </rPr>
          <t>Jim Roal:</t>
        </r>
        <r>
          <rPr>
            <sz val="8"/>
            <rFont val="Tahoma"/>
            <family val="0"/>
          </rPr>
          <t xml:space="preserve">
.5 is typical
higher number for lower efficiency.  Supercharged engines can be around .6 and really good, high compression, naturally aspirated race engines can be around .4</t>
        </r>
      </text>
    </comment>
    <comment ref="J31" authorId="0">
      <text>
        <r>
          <rPr>
            <b/>
            <sz val="8"/>
            <rFont val="Tahoma"/>
            <family val="0"/>
          </rPr>
          <t>Jim Roal:</t>
        </r>
        <r>
          <rPr>
            <sz val="8"/>
            <rFont val="Tahoma"/>
            <family val="0"/>
          </rPr>
          <t xml:space="preserve">
At 100% duty cycle</t>
        </r>
      </text>
    </comment>
    <comment ref="M8" authorId="0">
      <text>
        <r>
          <rPr>
            <b/>
            <sz val="8"/>
            <rFont val="Tahoma"/>
            <family val="0"/>
          </rPr>
          <t>Jim Roal:</t>
        </r>
        <r>
          <rPr>
            <sz val="8"/>
            <rFont val="Tahoma"/>
            <family val="0"/>
          </rPr>
          <t xml:space="preserve">
Calculations also work for reduced fuel pressure.  Use the pressure the injector was rated for in the original pressure box.</t>
        </r>
      </text>
    </comment>
    <comment ref="M31" authorId="0">
      <text>
        <r>
          <rPr>
            <b/>
            <sz val="8"/>
            <rFont val="Tahoma"/>
            <family val="0"/>
          </rPr>
          <t>Jim Roal:</t>
        </r>
        <r>
          <rPr>
            <sz val="8"/>
            <rFont val="Tahoma"/>
            <family val="0"/>
          </rPr>
          <t xml:space="preserve">
Standard temperature and pressure (STP) air assumed.</t>
        </r>
      </text>
    </comment>
    <comment ref="M29" authorId="0">
      <text>
        <r>
          <rPr>
            <b/>
            <sz val="8"/>
            <rFont val="Tahoma"/>
            <family val="0"/>
          </rPr>
          <t>Jim Roal:</t>
        </r>
        <r>
          <rPr>
            <sz val="8"/>
            <rFont val="Tahoma"/>
            <family val="0"/>
          </rPr>
          <t xml:space="preserve">
Using "power @ duty cycle"</t>
        </r>
      </text>
    </comment>
    <comment ref="M34" authorId="0">
      <text>
        <r>
          <rPr>
            <b/>
            <sz val="8"/>
            <rFont val="Tahoma"/>
            <family val="0"/>
          </rPr>
          <t>Jim Roal:</t>
        </r>
        <r>
          <rPr>
            <sz val="8"/>
            <rFont val="Tahoma"/>
            <family val="0"/>
          </rPr>
          <t xml:space="preserve">
Volumetric Efficiency.  This is calculated from AF ratio, BSFC, and injector flow at the given duty cycle.</t>
        </r>
      </text>
    </comment>
    <comment ref="M32" authorId="0">
      <text>
        <r>
          <rPr>
            <b/>
            <sz val="8"/>
            <rFont val="Tahoma"/>
            <family val="0"/>
          </rPr>
          <t>Jim Roal:</t>
        </r>
        <r>
          <rPr>
            <sz val="8"/>
            <rFont val="Tahoma"/>
            <family val="0"/>
          </rPr>
          <t xml:space="preserve">
Only used for VE calculation.</t>
        </r>
      </text>
    </comment>
    <comment ref="M33" authorId="0">
      <text>
        <r>
          <rPr>
            <b/>
            <sz val="8"/>
            <rFont val="Tahoma"/>
            <family val="0"/>
          </rPr>
          <t>Jim Roal:</t>
        </r>
        <r>
          <rPr>
            <sz val="8"/>
            <rFont val="Tahoma"/>
            <family val="0"/>
          </rPr>
          <t xml:space="preserve">
Only used for VE calculation</t>
        </r>
      </text>
    </comment>
    <comment ref="J18" authorId="1">
      <text>
        <r>
          <rPr>
            <b/>
            <sz val="8"/>
            <rFont val="Tahoma"/>
            <family val="0"/>
          </rPr>
          <t>Jimbo:</t>
        </r>
        <r>
          <rPr>
            <sz val="8"/>
            <rFont val="Tahoma"/>
            <family val="0"/>
          </rPr>
          <t xml:space="preserve">
Most systems use a 40psi base pressure.</t>
        </r>
      </text>
    </comment>
  </commentList>
</comments>
</file>

<file path=xl/comments2.xml><?xml version="1.0" encoding="utf-8"?>
<comments xmlns="http://schemas.openxmlformats.org/spreadsheetml/2006/main">
  <authors>
    <author>Jim Roal</author>
  </authors>
  <commentList>
    <comment ref="B25" authorId="0">
      <text>
        <r>
          <rPr>
            <b/>
            <sz val="8"/>
            <rFont val="Tahoma"/>
            <family val="0"/>
          </rPr>
          <t>Jim Roal:</t>
        </r>
        <r>
          <rPr>
            <sz val="8"/>
            <rFont val="Tahoma"/>
            <family val="0"/>
          </rPr>
          <t xml:space="preserve">
Enter total weight of car, driver, fuel, everything that will be in the car during the run.</t>
        </r>
      </text>
    </comment>
    <comment ref="B26" authorId="0">
      <text>
        <r>
          <rPr>
            <b/>
            <sz val="8"/>
            <rFont val="Tahoma"/>
            <family val="0"/>
          </rPr>
          <t>Jim Roal:</t>
        </r>
        <r>
          <rPr>
            <sz val="8"/>
            <rFont val="Tahoma"/>
            <family val="0"/>
          </rPr>
          <t xml:space="preserve">
This is the force it would take to pull the car on a flat level road at a constant low speed.  This force will be constant </t>
        </r>
      </text>
    </comment>
    <comment ref="B27" authorId="0">
      <text>
        <r>
          <rPr>
            <b/>
            <sz val="8"/>
            <rFont val="Tahoma"/>
            <family val="0"/>
          </rPr>
          <t>Jim Roal:</t>
        </r>
        <r>
          <rPr>
            <sz val="8"/>
            <rFont val="Tahoma"/>
            <family val="0"/>
          </rPr>
          <t xml:space="preserve">
This is the area in square feet that you would see if you looked straight at the front of your car.</t>
        </r>
      </text>
    </comment>
    <comment ref="B28" authorId="0">
      <text>
        <r>
          <rPr>
            <b/>
            <sz val="8"/>
            <rFont val="Tahoma"/>
            <family val="0"/>
          </rPr>
          <t>Jim Roal:</t>
        </r>
        <r>
          <rPr>
            <sz val="8"/>
            <rFont val="Tahoma"/>
            <family val="0"/>
          </rPr>
          <t xml:space="preserve">
This is the drag coefficient often advertised my the manufacturer.</t>
        </r>
      </text>
    </comment>
    <comment ref="E28" authorId="0">
      <text>
        <r>
          <rPr>
            <b/>
            <sz val="8"/>
            <rFont val="Tahoma"/>
            <family val="0"/>
          </rPr>
          <t>Jim Roal:</t>
        </r>
        <r>
          <rPr>
            <sz val="8"/>
            <rFont val="Tahoma"/>
            <family val="0"/>
          </rPr>
          <t xml:space="preserve">
This is air density.  1.2 is STP conditions.</t>
        </r>
      </text>
    </comment>
    <comment ref="I31" authorId="0">
      <text>
        <r>
          <rPr>
            <b/>
            <sz val="8"/>
            <rFont val="Tahoma"/>
            <family val="0"/>
          </rPr>
          <t>Jim Roal:</t>
        </r>
        <r>
          <rPr>
            <sz val="8"/>
            <rFont val="Tahoma"/>
            <family val="0"/>
          </rPr>
          <t xml:space="preserve">
If you want a power graph like you would get from a dyno, put the car in a single gear and accelerate across the rpm range.  Enter the speeds, times, and rpm values into this table and the spreadsheet will plot in the "dyno" graph below.  It will also give this graph if you do shift gears.  Use the table below to calculate rpm for a given gear and speed.</t>
        </r>
      </text>
    </comment>
    <comment ref="B31" authorId="0">
      <text>
        <r>
          <rPr>
            <b/>
            <sz val="8"/>
            <rFont val="Tahoma"/>
            <family val="0"/>
          </rPr>
          <t>Jim Roal:</t>
        </r>
        <r>
          <rPr>
            <sz val="8"/>
            <rFont val="Tahoma"/>
            <family val="0"/>
          </rPr>
          <t xml:space="preserve">
Enter the total times here.  For instance, if you did 0-30-60-90 miles per hour, enter the times in seconds from 0-30, then 0-60, then 0-90, and so on.</t>
        </r>
      </text>
    </comment>
  </commentList>
</comments>
</file>

<file path=xl/comments3.xml><?xml version="1.0" encoding="utf-8"?>
<comments xmlns="http://schemas.openxmlformats.org/spreadsheetml/2006/main">
  <authors>
    <author>Jim Roal</author>
  </authors>
  <commentList>
    <comment ref="K13" authorId="0">
      <text>
        <r>
          <rPr>
            <b/>
            <sz val="8"/>
            <rFont val="Tahoma"/>
            <family val="0"/>
          </rPr>
          <t>Jim Roal:</t>
        </r>
        <r>
          <rPr>
            <sz val="8"/>
            <rFont val="Tahoma"/>
            <family val="0"/>
          </rPr>
          <t xml:space="preserve">
163g/min @ 270kPa
5mg/cycle
</t>
        </r>
      </text>
    </comment>
    <comment ref="M13" authorId="0">
      <text>
        <r>
          <rPr>
            <b/>
            <sz val="8"/>
            <rFont val="Tahoma"/>
            <family val="0"/>
          </rPr>
          <t>Jim Roal:</t>
        </r>
        <r>
          <rPr>
            <sz val="8"/>
            <rFont val="Tahoma"/>
            <family val="0"/>
          </rPr>
          <t xml:space="preserve">
2001 DB7 Vantage</t>
        </r>
      </text>
    </comment>
    <comment ref="M5" authorId="0">
      <text>
        <r>
          <rPr>
            <b/>
            <sz val="8"/>
            <rFont val="Tahoma"/>
            <family val="0"/>
          </rPr>
          <t>Jim Roal:</t>
        </r>
        <r>
          <rPr>
            <sz val="8"/>
            <rFont val="Tahoma"/>
            <family val="0"/>
          </rPr>
          <t xml:space="preserve">
1984 318i</t>
        </r>
      </text>
    </comment>
  </commentList>
</comments>
</file>

<file path=xl/comments7.xml><?xml version="1.0" encoding="utf-8"?>
<comments xmlns="http://schemas.openxmlformats.org/spreadsheetml/2006/main">
  <authors>
    <author>Jim Roal</author>
    <author>Jimbo</author>
  </authors>
  <commentList>
    <comment ref="K6" authorId="0">
      <text>
        <r>
          <rPr>
            <b/>
            <sz val="8"/>
            <rFont val="Tahoma"/>
            <family val="0"/>
          </rPr>
          <t>Jim Roal:</t>
        </r>
        <r>
          <rPr>
            <sz val="8"/>
            <rFont val="Tahoma"/>
            <family val="0"/>
          </rPr>
          <t xml:space="preserve">
Detroit Roots = 40% - 50%
Eaton Roots = 50% - 60%
Turbo = 60% - 80%
Centrifugal = 60% - 70%</t>
        </r>
      </text>
    </comment>
    <comment ref="J3" authorId="0">
      <text>
        <r>
          <rPr>
            <b/>
            <sz val="8"/>
            <rFont val="Tahoma"/>
            <family val="0"/>
          </rPr>
          <t>Jim Roal:</t>
        </r>
        <r>
          <rPr>
            <sz val="8"/>
            <rFont val="Tahoma"/>
            <family val="0"/>
          </rPr>
          <t xml:space="preserve">
Note:  These calculations use the atmospheic base pressure shown in cell H3
</t>
        </r>
      </text>
    </comment>
    <comment ref="K4" authorId="0">
      <text>
        <r>
          <rPr>
            <b/>
            <sz val="8"/>
            <rFont val="Tahoma"/>
            <family val="0"/>
          </rPr>
          <t>Jim Roal:</t>
        </r>
        <r>
          <rPr>
            <sz val="8"/>
            <rFont val="Tahoma"/>
            <family val="0"/>
          </rPr>
          <t xml:space="preserve">
This is gauge pressure not absolute.  This is what your boost gauge will read.</t>
        </r>
      </text>
    </comment>
    <comment ref="L18" authorId="0">
      <text>
        <r>
          <rPr>
            <b/>
            <sz val="8"/>
            <rFont val="Tahoma"/>
            <family val="0"/>
          </rPr>
          <t>Jim Roal:</t>
        </r>
        <r>
          <rPr>
            <sz val="8"/>
            <rFont val="Tahoma"/>
            <family val="0"/>
          </rPr>
          <t xml:space="preserve">
This is the inlet flow rate.</t>
        </r>
      </text>
    </comment>
    <comment ref="K29" authorId="0">
      <text>
        <r>
          <rPr>
            <b/>
            <sz val="8"/>
            <rFont val="Tahoma"/>
            <family val="0"/>
          </rPr>
          <t>Jim Roal:</t>
        </r>
        <r>
          <rPr>
            <sz val="8"/>
            <rFont val="Tahoma"/>
            <family val="0"/>
          </rPr>
          <t xml:space="preserve">
Eaton Roots is about 85% at 5psi, 80% at 10psi.  Use the manufacturers flow charts to determine actual efficiency.</t>
        </r>
      </text>
    </comment>
    <comment ref="J28" authorId="0">
      <text>
        <r>
          <rPr>
            <b/>
            <sz val="8"/>
            <rFont val="Tahoma"/>
            <family val="0"/>
          </rPr>
          <t>Jim Roal:</t>
        </r>
        <r>
          <rPr>
            <sz val="8"/>
            <rFont val="Tahoma"/>
            <family val="0"/>
          </rPr>
          <t xml:space="preserve">
If the compressor had perfect sealing and flow.</t>
        </r>
      </text>
    </comment>
    <comment ref="M25" authorId="0">
      <text>
        <r>
          <rPr>
            <b/>
            <sz val="8"/>
            <rFont val="Tahoma"/>
            <family val="0"/>
          </rPr>
          <t>Jim Roal:</t>
        </r>
        <r>
          <rPr>
            <sz val="8"/>
            <rFont val="Tahoma"/>
            <family val="0"/>
          </rPr>
          <t xml:space="preserve">
Volumetric Efficiency.  Usually in the 75% to 105% range.  Most street cars will be in the 75% range for 2 valve to the 90% range for 4 valve engines.  Some race engines may be even higher than 105%.</t>
        </r>
      </text>
    </comment>
    <comment ref="J32" authorId="0">
      <text>
        <r>
          <rPr>
            <b/>
            <sz val="8"/>
            <rFont val="Tahoma"/>
            <family val="0"/>
          </rPr>
          <t>Jim Roal:</t>
        </r>
        <r>
          <rPr>
            <sz val="8"/>
            <rFont val="Tahoma"/>
            <family val="0"/>
          </rPr>
          <t xml:space="preserve">
You can use any units here as long as both number have the same units.  In other words, if you use mm for crank, use mm for blower as well.</t>
        </r>
      </text>
    </comment>
    <comment ref="M35" authorId="0">
      <text>
        <r>
          <rPr>
            <b/>
            <sz val="8"/>
            <rFont val="Tahoma"/>
            <family val="0"/>
          </rPr>
          <t>Jim Roal:</t>
        </r>
        <r>
          <rPr>
            <sz val="8"/>
            <rFont val="Tahoma"/>
            <family val="0"/>
          </rPr>
          <t xml:space="preserve">
Using "power @ duty cycle"</t>
        </r>
      </text>
    </comment>
    <comment ref="M36" authorId="0">
      <text>
        <r>
          <rPr>
            <b/>
            <sz val="8"/>
            <rFont val="Tahoma"/>
            <family val="0"/>
          </rPr>
          <t>Jim Roal:</t>
        </r>
        <r>
          <rPr>
            <sz val="8"/>
            <rFont val="Tahoma"/>
            <family val="0"/>
          </rPr>
          <t xml:space="preserve">
Standard temperature and pressure (STP) air assumed.</t>
        </r>
      </text>
    </comment>
    <comment ref="M38" authorId="0">
      <text>
        <r>
          <rPr>
            <b/>
            <sz val="8"/>
            <rFont val="Tahoma"/>
            <family val="0"/>
          </rPr>
          <t>Jim Roal:</t>
        </r>
        <r>
          <rPr>
            <sz val="8"/>
            <rFont val="Tahoma"/>
            <family val="0"/>
          </rPr>
          <t xml:space="preserve">
Only used for VE calculation.</t>
        </r>
      </text>
    </comment>
    <comment ref="M39" authorId="0">
      <text>
        <r>
          <rPr>
            <b/>
            <sz val="8"/>
            <rFont val="Tahoma"/>
            <family val="0"/>
          </rPr>
          <t>Jim Roal:</t>
        </r>
        <r>
          <rPr>
            <sz val="8"/>
            <rFont val="Tahoma"/>
            <family val="0"/>
          </rPr>
          <t xml:space="preserve">
Only used for VE calculation</t>
        </r>
      </text>
    </comment>
    <comment ref="M40" authorId="0">
      <text>
        <r>
          <rPr>
            <b/>
            <sz val="8"/>
            <rFont val="Tahoma"/>
            <family val="0"/>
          </rPr>
          <t>Jim Roal:</t>
        </r>
        <r>
          <rPr>
            <sz val="8"/>
            <rFont val="Tahoma"/>
            <family val="0"/>
          </rPr>
          <t xml:space="preserve">
Volumetric Efficiency.  This is calculated from AF ratio, BSFC, and injector flow at the given duty cycle.</t>
        </r>
      </text>
    </comment>
    <comment ref="K21" authorId="0">
      <text>
        <r>
          <rPr>
            <b/>
            <sz val="8"/>
            <rFont val="Tahoma"/>
            <family val="0"/>
          </rPr>
          <t>Jim Roal:</t>
        </r>
        <r>
          <rPr>
            <sz val="8"/>
            <rFont val="Tahoma"/>
            <family val="0"/>
          </rPr>
          <t xml:space="preserve">
Calculated using density ratio.</t>
        </r>
      </text>
    </comment>
    <comment ref="K22" authorId="0">
      <text>
        <r>
          <rPr>
            <b/>
            <sz val="8"/>
            <rFont val="Tahoma"/>
            <family val="0"/>
          </rPr>
          <t>Jim Roal:</t>
        </r>
        <r>
          <rPr>
            <sz val="8"/>
            <rFont val="Tahoma"/>
            <family val="0"/>
          </rPr>
          <t xml:space="preserve">
Calculated using density ratio.</t>
        </r>
      </text>
    </comment>
    <comment ref="K20" authorId="0">
      <text>
        <r>
          <rPr>
            <b/>
            <sz val="8"/>
            <rFont val="Tahoma"/>
            <family val="0"/>
          </rPr>
          <t>Jim Roal:</t>
        </r>
        <r>
          <rPr>
            <sz val="8"/>
            <rFont val="Tahoma"/>
            <family val="0"/>
          </rPr>
          <t xml:space="preserve">
Takes into account heating effects.  Intercooling will bring this closer to the pressure ratio calculations on the left.</t>
        </r>
      </text>
    </comment>
    <comment ref="J29" authorId="0">
      <text>
        <r>
          <rPr>
            <b/>
            <sz val="8"/>
            <rFont val="Tahoma"/>
            <family val="0"/>
          </rPr>
          <t>Jim Roal:</t>
        </r>
        <r>
          <rPr>
            <sz val="8"/>
            <rFont val="Tahoma"/>
            <family val="0"/>
          </rPr>
          <t xml:space="preserve">
This is the sealing efficiency of the compressor.</t>
        </r>
      </text>
    </comment>
    <comment ref="M44" authorId="1">
      <text>
        <r>
          <rPr>
            <b/>
            <sz val="8"/>
            <rFont val="Tahoma"/>
            <family val="0"/>
          </rPr>
          <t>Jimbo:</t>
        </r>
        <r>
          <rPr>
            <sz val="8"/>
            <rFont val="Tahoma"/>
            <family val="0"/>
          </rPr>
          <t xml:space="preserve">
Assuming STP conditions</t>
        </r>
      </text>
    </comment>
  </commentList>
</comments>
</file>

<file path=xl/comments8.xml><?xml version="1.0" encoding="utf-8"?>
<comments xmlns="http://schemas.openxmlformats.org/spreadsheetml/2006/main">
  <authors>
    <author>Jim Roal</author>
  </authors>
  <commentList>
    <comment ref="B9" authorId="0">
      <text>
        <r>
          <rPr>
            <b/>
            <sz val="8"/>
            <rFont val="Tahoma"/>
            <family val="0"/>
          </rPr>
          <t>Jim Roal:</t>
        </r>
        <r>
          <rPr>
            <sz val="8"/>
            <rFont val="Tahoma"/>
            <family val="0"/>
          </rPr>
          <t xml:space="preserve">
(R+M)/2 method</t>
        </r>
      </text>
    </comment>
    <comment ref="B8" authorId="0">
      <text>
        <r>
          <rPr>
            <b/>
            <sz val="8"/>
            <rFont val="Tahoma"/>
            <family val="0"/>
          </rPr>
          <t>Jim Roal:</t>
        </r>
        <r>
          <rPr>
            <sz val="8"/>
            <rFont val="Tahoma"/>
            <family val="0"/>
          </rPr>
          <t xml:space="preserve">
10=excellent, 
7=good modern,
5=moderate, 
0=really bad</t>
        </r>
      </text>
    </comment>
    <comment ref="A8" authorId="0">
      <text>
        <r>
          <rPr>
            <b/>
            <sz val="8"/>
            <rFont val="Tahoma"/>
            <family val="0"/>
          </rPr>
          <t>Jim Roal:</t>
        </r>
        <r>
          <rPr>
            <sz val="8"/>
            <rFont val="Tahoma"/>
            <family val="0"/>
          </rPr>
          <t xml:space="preserve">
This is an index of how good the combustion chamber is</t>
        </r>
      </text>
    </comment>
    <comment ref="B7" authorId="0">
      <text>
        <r>
          <rPr>
            <sz val="8"/>
            <rFont val="Tahoma"/>
            <family val="0"/>
          </rPr>
          <t>Typical combustion chambers can only support 12.5:1 compression with 92 octane fuel.</t>
        </r>
      </text>
    </comment>
    <comment ref="E9" authorId="0">
      <text>
        <r>
          <rPr>
            <b/>
            <sz val="8"/>
            <rFont val="Tahoma"/>
            <family val="0"/>
          </rPr>
          <t>Jim Roal:</t>
        </r>
        <r>
          <rPr>
            <sz val="8"/>
            <rFont val="Tahoma"/>
            <family val="0"/>
          </rPr>
          <t xml:space="preserve">
Total boost retard needed at full boost pressure.  Keep in mind higher rpm reduces octane requirement some.</t>
        </r>
      </text>
    </comment>
    <comment ref="D5" authorId="0">
      <text>
        <r>
          <rPr>
            <b/>
            <sz val="8"/>
            <rFont val="Tahoma"/>
            <family val="0"/>
          </rPr>
          <t>Jim Roal:</t>
        </r>
        <r>
          <rPr>
            <sz val="8"/>
            <rFont val="Tahoma"/>
            <family val="0"/>
          </rPr>
          <t xml:space="preserve">
Enter the fuel octane you plan to actually use.  (R+M)/2
</t>
        </r>
      </text>
    </comment>
  </commentList>
</comments>
</file>

<file path=xl/sharedStrings.xml><?xml version="1.0" encoding="utf-8"?>
<sst xmlns="http://schemas.openxmlformats.org/spreadsheetml/2006/main" count="2168" uniqueCount="1492">
  <si>
    <t>7M-GE (Yellow)(2.7 Ohms)(IC-543)</t>
  </si>
  <si>
    <t>23250-16061</t>
  </si>
  <si>
    <t xml:space="preserve"> 365 cm3/min(35.26 LBS/HR)(2.50 bar)(36.3 PSI)</t>
  </si>
  <si>
    <t>4A-GZE(Red-Orange)(2.9 Ohms)(IC-544)</t>
  </si>
  <si>
    <t>23250-42010</t>
  </si>
  <si>
    <t xml:space="preserve"> 430 cm3/min(41.54 LBS/HR)(2.50 bar)(36.3 PSI)</t>
  </si>
  <si>
    <t>7M-GTE,3S-GTE(- 8/89)(Black)(2.9 Ohms)(IC-546)</t>
  </si>
  <si>
    <t>23250-74090</t>
  </si>
  <si>
    <t xml:space="preserve"> 440 cm3/min(42.49 LBS/HR)(2.96 bar)(43.0 PSI)</t>
  </si>
  <si>
    <t>3S-GTE(8/89 -)(Side Feed)(Black)((2.9 Ohms)(IC-592)</t>
  </si>
  <si>
    <t>23250-79015</t>
  </si>
  <si>
    <t xml:space="preserve"> 560 cm3/min(54.10 LBS/HR)(2.50 bar)(36.3 PSI)</t>
  </si>
  <si>
    <t>1S-I  (Single Point Injection)(?)(1.3 Ohms)</t>
  </si>
  <si>
    <t>Type "F" Connector</t>
  </si>
  <si>
    <t xml:space="preserve"> 155 cm3/min(14.97 LBS/HR)(2.84 bar)(41.2 PSI)</t>
  </si>
  <si>
    <t>3E-E  (Red/Dark Blue)(13.8 Ohms)</t>
  </si>
  <si>
    <t>23250-11040</t>
  </si>
  <si>
    <t>3E-E  (- 8/90)2E-E(Violet)(13.8 Ohms)(IC-589)</t>
  </si>
  <si>
    <t>1G-FE (Sky Blue)(13.8 Ohms)</t>
  </si>
  <si>
    <t xml:space="preserve"> 176 cm3/min(17.00 LBS/HR)(2.84 bar)(41.2 PSI)</t>
  </si>
  <si>
    <t>4A-FE (Corolla - 8/89) (Light Green)(13.8 Ohms)</t>
  </si>
  <si>
    <t>23250-16120</t>
  </si>
  <si>
    <t>4A-FE (8/89 -)(Grey)(13.8 Ohms)(IC-695)</t>
  </si>
  <si>
    <t>23250-74060</t>
  </si>
  <si>
    <t>3S-FE (8/87 -)(Dark Blue)(13.8 Ohms)(IC-643)</t>
  </si>
  <si>
    <t>23250-35040</t>
  </si>
  <si>
    <t>22R-E (8/88 -)(Orange/Blue)(13.8 Ohms)(IC-629)</t>
  </si>
  <si>
    <t>23250-62030</t>
  </si>
  <si>
    <t>3VZ-FE(Brown)(13.8 Ohms)</t>
  </si>
  <si>
    <t>23250-62020</t>
  </si>
  <si>
    <t>2VZ-FE(Red)(13.8 Ohms)(IC-547)</t>
  </si>
  <si>
    <t>23250-61010</t>
  </si>
  <si>
    <t xml:space="preserve"> 213 cm3/min(20.57 LBS/HR)(2.84 bar)(41.2 PSI)</t>
  </si>
  <si>
    <t>3F-E  (Landcruiser)(Sky Blue)(13.8 Ohms)(IC-635)</t>
  </si>
  <si>
    <t>23250-16080</t>
  </si>
  <si>
    <t>4A-GE (EFI-L 8/87 - 8/89)(Beige)(13.8 Ohms)</t>
  </si>
  <si>
    <t>5S-FE (Yellow)(13.8 Ohms)</t>
  </si>
  <si>
    <t xml:space="preserve"> 228 cm3/min(22.03 LBS/HR)(2.84 bar)(41.2 PSI)</t>
  </si>
  <si>
    <t>2RZ-E (Side Feed)(Light Green)(13.8 Ohms)</t>
  </si>
  <si>
    <t xml:space="preserve"> 250 cm3/min(24.15 LBS/HR)(2.84 bar)(41.2 PSI)</t>
  </si>
  <si>
    <t>4A-GE (EFI-D 8/89 -)(Green)(13.8 Ohms)</t>
  </si>
  <si>
    <t>4A-GE (EFI-L 8/89 -)(Violet)(13.8 Ohms)</t>
  </si>
  <si>
    <t xml:space="preserve"> 251 cm3/min(24.25 LBS/HR)(2.84 bar)(41.2 PSI)</t>
  </si>
  <si>
    <t>1UZ-FE(Violet)(13.8 Ohms)</t>
  </si>
  <si>
    <t>23250-79045</t>
  </si>
  <si>
    <t xml:space="preserve"> 282 cm3/min(27.24 LBS/HR)(2.84 bar)(41.2 PSI)</t>
  </si>
  <si>
    <t>2TZ-FE(Side Feed)(Violet)(13.8 Ohms)(IC-593)</t>
  </si>
  <si>
    <t>3S-GE (8/87 - 8/89 w/TWC)(Green)(13.8 Ohms)</t>
  </si>
  <si>
    <t xml:space="preserve"> 315 cm3/min(30.43 LBS/HR)(2.84 bar)(41.2 PSI)</t>
  </si>
  <si>
    <t>3S-GE (8/89 -)(Pink)(13.8 Ohms)</t>
  </si>
  <si>
    <t>23250-70080</t>
  </si>
  <si>
    <t>7M-GE (8/88 -)(US 8/89 -)(Light Green)(13.8 Ohms)</t>
  </si>
  <si>
    <t>(IC-548)</t>
  </si>
  <si>
    <t>23250-49035</t>
  </si>
  <si>
    <t xml:space="preserve"> 530 cm3/min(51.18 LBS/HR)(2.50 bar)(36.3 PSI)</t>
  </si>
  <si>
    <t>2JZ-GTE(8/92 - 8/94)(Side Feed)(IC-632)</t>
  </si>
  <si>
    <t xml:space="preserve"> 295 cm3/min(28.50 LBS/HR)(x.xx bar)(XX.X PSI)</t>
  </si>
  <si>
    <t>3T-GTEU</t>
  </si>
  <si>
    <t>-------------------------------------------------</t>
  </si>
  <si>
    <t>** NOTES REGARDING LIST FORMAT **</t>
  </si>
  <si>
    <t>Redline</t>
  </si>
  <si>
    <t>crank</t>
  </si>
  <si>
    <t>SC Pulley</t>
  </si>
  <si>
    <t>Ratio</t>
  </si>
  <si>
    <t>SC RPM</t>
  </si>
  <si>
    <t>(1) (LOZ) - LOW IMPEDANCE</t>
  </si>
  <si>
    <t>(2) (HIZ) - HIGH IMPEDANCE</t>
  </si>
  <si>
    <t>(3) (IC-***) REFERS TO THE LAST THREE DIGITS OF THE MASTER INTERCHANGE NUMBER</t>
  </si>
  <si>
    <t xml:space="preserve">    Example  BOSCH PN 0 280 150 001 (IC-514)</t>
  </si>
  <si>
    <t xml:space="preserve">     </t>
  </si>
  <si>
    <t xml:space="preserve"> Borg-Warner</t>
  </si>
  <si>
    <t xml:space="preserve"> PN FOR 0 280 150 001(NEW) IS "57514"</t>
  </si>
  <si>
    <t xml:space="preserve"> PN FOR 0 280 150 001(REMANUFACTURED) IS "27514"</t>
  </si>
  <si>
    <t xml:space="preserve"> NAPA</t>
  </si>
  <si>
    <t xml:space="preserve"> PN FOR 0 280 150 001(NEW) IS "2-18514"</t>
  </si>
  <si>
    <t xml:space="preserve"> PN FOR 0 280 150 001(REMANUFACTURED) IS "2-17514"</t>
  </si>
  <si>
    <t>(4) DYNAMIC FLOW RATES LISTED ARE IN CM3/1000 CYCLES</t>
  </si>
  <si>
    <t>(5) THOSE FLOWRATES LISTED IN BOLD TYPE SHOW CONFLICTING INFORMATION WAS RECEIVED FROM SEPARATE SOURCES AND REQUIRES</t>
  </si>
  <si>
    <t xml:space="preserve">    FURTHER CLARIFICATION. </t>
  </si>
  <si>
    <t>Injector</t>
  </si>
  <si>
    <t>Original Pressure</t>
  </si>
  <si>
    <t>Injector Equivelent</t>
  </si>
  <si>
    <t>psig</t>
  </si>
  <si>
    <t>New Pressure</t>
  </si>
  <si>
    <t>Raised Fuel Pressure</t>
  </si>
  <si>
    <t>Air/Fuel Ratio</t>
  </si>
  <si>
    <t>Unit Converter</t>
  </si>
  <si>
    <t>Fuel Pump</t>
  </si>
  <si>
    <t>Air/Fuel ratio</t>
  </si>
  <si>
    <t>Air Flow</t>
  </si>
  <si>
    <t>CFM</t>
  </si>
  <si>
    <t>(6) FLOWRATES WERE CONVERTED BETWEEN ENGLISH &amp; SI USING THE FOLLOWING FORMULAS</t>
  </si>
  <si>
    <t xml:space="preserve">    </t>
  </si>
  <si>
    <t>(a) Gasoline density: 0.73 grams/ml.</t>
  </si>
  <si>
    <t>(b) 1 bar = 14.5038 PSI</t>
  </si>
  <si>
    <t>(c) 1 LBS = 453.59 grams</t>
  </si>
  <si>
    <t>(d) To convert (cm3/min) to (LBS/HR) -  DIVIDE BY 10.356</t>
  </si>
  <si>
    <t>(7) Comments, Corrections, and Additions are welcomed.</t>
  </si>
  <si>
    <t xml:space="preserve">(8) Bosch part numbers in red are now obsolete </t>
  </si>
  <si>
    <t>0 280 150 351  735 cm3/min(71.0 LBS/HR)(8.95 grams/sec)(3.0 bar)(44.1 PSI)</t>
  </si>
  <si>
    <t>305 cm3/min(29.5 LBS/HR) @ 3.0 bar(43.0 PSI)(1985 BMW 745)</t>
  </si>
  <si>
    <t>CHEV 305 CI</t>
  </si>
  <si>
    <t xml:space="preserve"> - 19 LBS/HR @  36.0 PSI (2.5 BAR)</t>
  </si>
  <si>
    <t>CHEV 350 CI</t>
  </si>
  <si>
    <t xml:space="preserve"> - 22 LBS/HR @  43.5 PSI (3.0 BAR)</t>
  </si>
  <si>
    <t>EDELBROCK PROFLOW INJECTION FOR SBC - (28 LBS/HR)</t>
  </si>
  <si>
    <t>Ohms</t>
  </si>
  <si>
    <t>lb/h</t>
  </si>
  <si>
    <t>cc/min</t>
  </si>
  <si>
    <t>4cyl</t>
  </si>
  <si>
    <t>6cyl</t>
  </si>
  <si>
    <t>8cyl</t>
  </si>
  <si>
    <t>12cyl</t>
  </si>
  <si>
    <t>Bosch#</t>
  </si>
  <si>
    <t>0 280 150 208</t>
  </si>
  <si>
    <t>0 280 150 716</t>
  </si>
  <si>
    <t>0 280 150 211</t>
  </si>
  <si>
    <t>0 280 150 715</t>
  </si>
  <si>
    <t>BMW</t>
  </si>
  <si>
    <t>0 280 150 704</t>
  </si>
  <si>
    <t>0 280 150 209</t>
  </si>
  <si>
    <t>0 280 150 121</t>
  </si>
  <si>
    <t>0 280 150 203</t>
  </si>
  <si>
    <t>0 280 150 614</t>
  </si>
  <si>
    <t>0 280 150 201</t>
  </si>
  <si>
    <t>Flow</t>
  </si>
  <si>
    <t>10cyl</t>
  </si>
  <si>
    <t>Peak Power Potential</t>
  </si>
  <si>
    <t>Current HP</t>
  </si>
  <si>
    <t>Boost Pressure</t>
  </si>
  <si>
    <t>New HP</t>
  </si>
  <si>
    <t>Fuel Pressure</t>
  </si>
  <si>
    <t>psi</t>
  </si>
  <si>
    <t>:1</t>
  </si>
  <si>
    <t>HP</t>
  </si>
  <si>
    <t>Cylinders</t>
  </si>
  <si>
    <t>Boosted Engines w/FMU</t>
  </si>
  <si>
    <t>Lph</t>
  </si>
  <si>
    <t>Injector Size</t>
  </si>
  <si>
    <t>Inj Equivelent Size</t>
  </si>
  <si>
    <t>FMU Ratio</t>
  </si>
  <si>
    <t>Power Potential</t>
  </si>
  <si>
    <t>Max Fuel Pressure</t>
  </si>
  <si>
    <t>Min Fuel Pump Required</t>
  </si>
  <si>
    <t>Injector flow</t>
  </si>
  <si>
    <t>with FMU</t>
  </si>
  <si>
    <t>Weight</t>
  </si>
  <si>
    <t>lbs</t>
  </si>
  <si>
    <t>1/4mi ET</t>
  </si>
  <si>
    <t>seconds</t>
  </si>
  <si>
    <t>1/4mi MPH</t>
  </si>
  <si>
    <t>MPH</t>
  </si>
  <si>
    <t>HP by speed</t>
  </si>
  <si>
    <t>HP by ET</t>
  </si>
  <si>
    <t>s</t>
  </si>
  <si>
    <t>Est 1/4mi ET</t>
  </si>
  <si>
    <t>Est 1/4mi MPH</t>
  </si>
  <si>
    <t>Estimate HP by 1/4mi Performance</t>
  </si>
  <si>
    <t>Bore</t>
  </si>
  <si>
    <t>Stroke</t>
  </si>
  <si>
    <t>Displacement</t>
  </si>
  <si>
    <t>mm</t>
  </si>
  <si>
    <t>cc</t>
  </si>
  <si>
    <t>L</t>
  </si>
  <si>
    <t>CID</t>
  </si>
  <si>
    <t>Inches</t>
  </si>
  <si>
    <t>Estimate 1/4mi Performance by Specs</t>
  </si>
  <si>
    <t>New ET</t>
  </si>
  <si>
    <t>ADS PN          Flowrate</t>
  </si>
  <si>
    <t>Application</t>
  </si>
  <si>
    <t>5506-I  167 cm3/min(16.1 LBS/HR)</t>
  </si>
  <si>
    <t>(3.0 bar)(43.5 PSI)AFTERMARKET</t>
  </si>
  <si>
    <t>5507-I</t>
  </si>
  <si>
    <t xml:space="preserve">  xxx cm3/min(XX.X LBS/HR)</t>
  </si>
  <si>
    <t>(x.x bar)(XX.X PSI)AFTERMARKET</t>
  </si>
  <si>
    <t>5509-I</t>
  </si>
  <si>
    <t>5515-I</t>
  </si>
  <si>
    <t>5706-I</t>
  </si>
  <si>
    <t>5707-I</t>
  </si>
  <si>
    <t>5715-I</t>
  </si>
  <si>
    <t>Bendix PN       Flowrate</t>
  </si>
  <si>
    <t>(GM)25500139    849 cm3/min(82.0 LBS/HR)</t>
  </si>
  <si>
    <t>(3.1 bar)(45 PSI)(RED)(LOZ)</t>
  </si>
  <si>
    <t>(GM)(ALCOHOL)   1864 cm3/min(180.0 LBS/HR)</t>
  </si>
  <si>
    <t>(3.1 bar)(45 PSI)(WHITE)(LOZ)</t>
  </si>
  <si>
    <t xml:space="preserve">Bosch PN        </t>
  </si>
  <si>
    <t xml:space="preserve"> Flowrate</t>
  </si>
  <si>
    <t xml:space="preserve">  Dynamic</t>
  </si>
  <si>
    <t>MPI 0 280 150 001  265 cm3/min(25.6 LBS/HR)</t>
  </si>
  <si>
    <t>(3.0 bar)(43.5 PSI)MERCEDES 3.5L V8/SAAB 1.7L(STYLE V)(IC-514)</t>
  </si>
  <si>
    <t xml:space="preserve">    0 280 150 002  265 cm3/min(25.6 LBS/HR)</t>
  </si>
  <si>
    <t>(3.0 bar)(43.5 PSI)</t>
  </si>
  <si>
    <t xml:space="preserve">    0 280 150 003  380 cm3/min(36.7 LBS/HR)</t>
  </si>
  <si>
    <t xml:space="preserve">    0 280 150 007  340 cm3/min(32.8 LBS/HR)</t>
  </si>
  <si>
    <t>(x.x bar)(XX.X PSI)VW 1.6L/1.7L(STYLE V)(YELLOW)(IC-514)</t>
  </si>
  <si>
    <t>MPI 0 280 150 009  265 cm3/min(25.6 LBS/HR)</t>
  </si>
  <si>
    <t>(3.0 bar)(43.5 PSI)'70-'73 PORSCHE 914 1.7L(STYLE V)(YELLOW)(IC-517)</t>
  </si>
  <si>
    <t>MPI 0 280 150 014  xxx cm3/min(XX.X LBS/HR)</t>
  </si>
  <si>
    <t>(x.x bar)(XX.X PSI)JAGUAR 5.3L V12(- 1979)(STYLE V)(IC-528)</t>
  </si>
  <si>
    <t xml:space="preserve">    0 280 150 015  380 cm3/min(36.7 LBS/HR)</t>
  </si>
  <si>
    <t>MPI 0 280 150 016  xxx cm3/min(XX.X LBS/HR)</t>
  </si>
  <si>
    <t>(x.x bar)(XX.X PSI)1972 - 73 RENAULT R17</t>
  </si>
  <si>
    <t>MPI 0 280 150 019  xxx cm3/min(XX.X LBS/HR)</t>
  </si>
  <si>
    <t>(x.x bar)(XX.X PSI)'73-'74 PORSCHE 914 2.0L(STYLE V)(GREEN)(IC-513)</t>
  </si>
  <si>
    <t>MPI 0 280 150 023  xxx cm3/min(XX.X LBS/HR)</t>
  </si>
  <si>
    <t>(x.x bar)(XX.X PSI)JAGUAR V12(1979 -)(D-Jetronic)</t>
  </si>
  <si>
    <t>Blower VE</t>
  </si>
  <si>
    <t>Twin Compressor</t>
  </si>
  <si>
    <t>Cut-in</t>
  </si>
  <si>
    <t>MPI 0 280 150 024  380 cm3/min(36.7 LBS/HR)</t>
  </si>
  <si>
    <t>(x.x bar)(XX.X PSI)VOLVO B30E</t>
  </si>
  <si>
    <t xml:space="preserve">    0 280 150 026  380 cm3/min(36.7 LBS/HR)</t>
  </si>
  <si>
    <t>MPI 0 280 150 034  xxx cm3/min(XX.X LBS/HR)</t>
  </si>
  <si>
    <t>(x.x bar)(XX.X PSI)MERCEDES 3.5L V8/SAAB 1.7L(STYLE V)(IC-514)</t>
  </si>
  <si>
    <t>MPI 0 280 150 035  410 cm3/min(39.6 LBS/HR)</t>
  </si>
  <si>
    <t>(x.x bar)(XX.X PSI)? JAGUAR 5.3L V12(- 1979)(STYLE V)(IC-528)</t>
  </si>
  <si>
    <t>MPI 0 280 150 035  318 cm3/min(30.7 LBS/HR)</t>
  </si>
  <si>
    <t>(2.0 bar)(29.0 PSI)? JAGUAR 5.3L V12(- 1979)(STYLE V)(IC-528)</t>
  </si>
  <si>
    <t>MPI 0 280 150 036  480 cm3/min(46.3 LBS/HR)</t>
  </si>
  <si>
    <t>(2.5 bar)(36.3 PSI)? MERCEDES 4.5L V8/VOLVO 2.0L/3.0L V6(2.5 Ohms)</t>
  </si>
  <si>
    <t xml:space="preserve">(STYLE V)(IC-512) </t>
  </si>
  <si>
    <t>MPI 0 280 150 036  470 cm3/min(XX.X LBS/HR)</t>
  </si>
  <si>
    <t>(x.x bar)(38.0 PSI)? MERCEDES 4.5L V8/VOLVO 2.0L/3.0L V6(2.5 Ohms)</t>
  </si>
  <si>
    <t>MPI 0 280 150 036  380 cm3/min(36.7 LBS/HR)</t>
  </si>
  <si>
    <t>(3.0 bar)(43.5 PSI)? MERCEDES 4.5L V8/VOLVO 2.0L/3.0L V6(2.5 Ohms)</t>
  </si>
  <si>
    <t>(STYLE V)(IC-512)</t>
  </si>
  <si>
    <t>MPI 0 280 150 038  xxx cm3/min(XX.X LBS/HR)</t>
  </si>
  <si>
    <t>(x.x bar)(XX.X PSI)'75-'76 PORSCHE 914 2.0L(STYLE V)(GREEN)(IC-513)</t>
  </si>
  <si>
    <t>MPI 0 280 150 040  xxx cm3/min(XX.X LBS/HR)</t>
  </si>
  <si>
    <t xml:space="preserve">(x.x bar)(XX.X PSI)CADILLAC 5.7L/7.0L V8(STYLE I)(IC-006) </t>
  </si>
  <si>
    <t xml:space="preserve">    0 280 150 041  480 cm3/min(46.3 LBS/HR)</t>
  </si>
  <si>
    <t>(3.0 bar)(43.5 PSI)MB 6.9L V8/CADILLAC</t>
  </si>
  <si>
    <t xml:space="preserve">    0 280 150 043  380 cm3/min(36.7 LBS/HR)</t>
  </si>
  <si>
    <t>(3.0 bar)(43.5 PSI)BMW</t>
  </si>
  <si>
    <t xml:space="preserve">    0 280 150 044  340 cm3/min(32.8 LBS/HR)</t>
  </si>
  <si>
    <t>(x.x bar)(XX.X PSI)VW 1.6L/1.7L(STYLE 5)(BLACK)(IC-514)</t>
  </si>
  <si>
    <t xml:space="preserve">    0 280 150 045  400 cm3/min(38.6 LBS/HR)</t>
  </si>
  <si>
    <t>TBI 0 280 150 053  xxx cm3/min(XX.X LBS/HR)</t>
  </si>
  <si>
    <t>(x.x bar)(XX.X PSI)FORD 2.3L(IC-004)</t>
  </si>
  <si>
    <t xml:space="preserve">    0 280 150 054  xxx cm3/min(XX.X LBS/HR)</t>
  </si>
  <si>
    <t>(x.x bar)(XX.X PSI)(0 280 150 600)FORD E43-E9F593-AA(BLUE)</t>
  </si>
  <si>
    <t>TBI 0 280 150 055  xxx cm3/min(XX.X LBS/HR)</t>
  </si>
  <si>
    <t>(x.x bar)(XX.X PSI)FORD 2.5L(E53E-9F593-AA)(GREEN)(IC-000)</t>
  </si>
  <si>
    <t xml:space="preserve">    0 280 150 056  xxx cm3/min(XX.X LBS/HR)</t>
  </si>
  <si>
    <t>(x.x bar)(XX.X PSI)(0 280 150 601)FORD E53-E9F593-AA(GREEN)</t>
  </si>
  <si>
    <t>TBI 0 280 150 057  xxx cm3/min(XX.X LBS/HR)</t>
  </si>
  <si>
    <t>(x.x bar)(XX.X PSI)FORD 1.9L(E7EE-E9F593-CA)(WHITE)(IC-221)</t>
  </si>
  <si>
    <t>TBI 0 280 150 063  xxx cm3/min(XX.X LBS/HR)</t>
  </si>
  <si>
    <t>(x.x bar)(XX.X PSI)CHRYSLER 2.2L/2.5L(IC-222)</t>
  </si>
  <si>
    <t>TBI 0 280 150 067  xxx cm3/min(XX.X LBS/HR)</t>
  </si>
  <si>
    <t>(x.x bar)(XX.X PSI)CHRYSLER 2.2L(IC-226)</t>
  </si>
  <si>
    <t xml:space="preserve">    0 280 150 100  185 cm3/min(17.9 LBS/HR)</t>
  </si>
  <si>
    <t>MPI 0 280 150 102  xxx cm3/min(XX.X LBS/HR)</t>
  </si>
  <si>
    <t>(x.x bar)(XX.X PSI)</t>
  </si>
  <si>
    <t>MPI 0 280 150 104  xxx cm3/min(XX.X LBS/HR)</t>
  </si>
  <si>
    <t>MPI 0 280 150 105  187 cm3/min(18.1 LBS/HR)</t>
  </si>
  <si>
    <t>(3.0 bar)(43.0 PSI)ALFA 2.5L V6/3.0L V6/JAGUAR 5.3L V12(GREY)(IC-511)</t>
  </si>
  <si>
    <t>(3.0 bar)(43.0 PSI)OPEL 1.9L/PORSCHE 914 2.0L/RENAULT 1.6L(GREY)(IC-511)</t>
  </si>
  <si>
    <t>(3.0 bar)(43.0 PSI)TRIUMPH 2.0L/3.5L V8(GREY)(IC-511)</t>
  </si>
  <si>
    <t>MPI 0 280 150 106  xxx cm3/min(XX.X LBS/HR)</t>
  </si>
  <si>
    <t xml:space="preserve">    0 280 150 112  xxx cm3/min(XX.X LBS/HR)</t>
  </si>
  <si>
    <t>(x.x bar)(XX.X PSI)'74-'75 PORSCHE 914 1.8L/VW(Type I)1.6L(GREY)(IC-516)</t>
  </si>
  <si>
    <t xml:space="preserve">    0 280 150 114  185 cm3/min(17.9 LBS/HR)</t>
  </si>
  <si>
    <t>(x.x bar)(XX.X PSI)VW(Transporter)1.8L/2.0L(IC-508)</t>
  </si>
  <si>
    <t xml:space="preserve">    0 280 150 116  185 cm3/min(17.9 LBS/HR)</t>
  </si>
  <si>
    <t xml:space="preserve">(x.x bar)(XX.X PSI)VW(Type I)1.6L(IC-515) </t>
  </si>
  <si>
    <t xml:space="preserve">    0 280 150 121  178 cm3/min(17.2 LBS/HR)</t>
  </si>
  <si>
    <t>(3.0 bar)(43.5 PSI)ALFA 2.0L/FIAT 2.0L/LANCIA 2.0L(STYLE V)(IC-502)</t>
  </si>
  <si>
    <t>MPI 0 280 150 123  xxx cm3/min(XX.X LBS/HR)</t>
  </si>
  <si>
    <t>(x.x bar)(XX.X PSI)FIAT 1.5L/TRIUMPH 2.0L/3.5L V8(IC-511)</t>
  </si>
  <si>
    <t>MPI 0 280 150 124  xxx cm3/min(XX.X LBS/HR)</t>
  </si>
  <si>
    <t>(x.x bar)(XX.X PSI)TRIUMPH 2.0L</t>
  </si>
  <si>
    <t xml:space="preserve">    0 280 150 125  188 cm3/min(18.2 LBS/HR)</t>
  </si>
  <si>
    <t>V</t>
  </si>
  <si>
    <t>Downforce</t>
  </si>
  <si>
    <t>(x.x bar)(XX.X PSI)RENAULT 1.57L Turbo/1.65L/TRIUMPH 2.0L(STYLE V)(IC-519)</t>
  </si>
  <si>
    <t xml:space="preserve">    0 280 150 126  xxx cm3/min(XX.X LBS/HR)</t>
  </si>
  <si>
    <t>(x.x bar)(XX.X PSI)BMW 3.0L(6 CYL)EAGLE 3.0L V6(IC-525)</t>
  </si>
  <si>
    <t xml:space="preserve">    0 280 150 127  xxx cm3/min(XX.X LBS/HR)</t>
  </si>
  <si>
    <t>(x.x bar)(XX.X PSI)ALFA 2.0L/FIAT 2.0L/LANCIA 2.0L(STYLE V)(IC-502)</t>
  </si>
  <si>
    <t xml:space="preserve"> </t>
  </si>
  <si>
    <t>The Focus SVT pump is rated at 143LPH.</t>
  </si>
  <si>
    <t xml:space="preserve">    0 280 150 128  xxx cm3/min(XX.X LBS/HR)</t>
  </si>
  <si>
    <t xml:space="preserve">    0 280 150 133  xxx cm3/min(XX.X LBS/HR)</t>
  </si>
  <si>
    <t>(x.x bar)(XX.X PSI)JAGUAR XJ6 4.0L(6 CYL)(IC-727)</t>
  </si>
  <si>
    <t>MPI 0 280 150 150  xxx cm3/min(XX.X LBS/HR)</t>
  </si>
  <si>
    <t xml:space="preserve">(x.x bar)(XX.X PSI) </t>
  </si>
  <si>
    <t xml:space="preserve">    0 280 150 151  240 cm3/min(23.2 LBS/HR)</t>
  </si>
  <si>
    <t>(2.0 bar)(29.0 PSI)? BMW 3.0L(6 CYL)JAGUAR 4.2L(6 CYL)(STYLE V)(IC-506)</t>
  </si>
  <si>
    <t xml:space="preserve">    0 280 150 151  300 cm3/min(29.0 LBS/HR)</t>
  </si>
  <si>
    <t xml:space="preserve">(3.0 bar)(43.5 PSI)? VOLVO B200/B230(STYLE V)(HIZ)  </t>
  </si>
  <si>
    <t xml:space="preserve">    0 280 150 152  230 cm3/min(22.2 LBS/HR)</t>
  </si>
  <si>
    <t>(x.x bar)(XX.X PSI)ALFA Turbo/BMW 2.8L/3.2L(6 CYL)(STYLE V)(IC-505)</t>
  </si>
  <si>
    <t>MPI 0 280 150 153  xxx cm3/min(XX.X LBS/HR)</t>
  </si>
  <si>
    <t xml:space="preserve">    0 280 150 154  xxx cm3/min(XX.X LBS/HR)</t>
  </si>
  <si>
    <t>(x.x bar)(XX.X PSI)PORSCHE 4.5L V8(STYLE V)(IC-526)</t>
  </si>
  <si>
    <t xml:space="preserve">    0 280 150 157  214 cm3/min(20.7 LBS/HR)</t>
  </si>
  <si>
    <t xml:space="preserve">(2.5 bar)(36.3 PSI)JAGUAR 3.6L/4.2L(6 CYL)(STYLE V)(IC-763)  </t>
  </si>
  <si>
    <t>MPI 0 280 150 158  xxx cm3/min(XX.X LBS/HR)</t>
  </si>
  <si>
    <t>(x.x bar)(XX.X PSI)PORSCHE 2.5L/3.2L(6 CYL)(IC-728)</t>
  </si>
  <si>
    <t>MPI 0 280 150 159  xxx cm3/min(XX.X LBS/HR)</t>
  </si>
  <si>
    <t>(x.x bar)(XX.X PSI)FORD 2.3L(STYLE II)(IC-029)</t>
  </si>
  <si>
    <t>MPI 0 280 150 160  xxx cm3/min(XX.X LBS/HR)</t>
  </si>
  <si>
    <t>(x.x bar)(XX.X PSI)EAGLE 3.0L V6/FORD 2.3L(STYLE II)(IC-030)</t>
  </si>
  <si>
    <t>MPI 0 280 150 161  xxx cm3/min(XX.X LBS/HR)</t>
  </si>
  <si>
    <t>MPI 0 280 150 162  xxx cm3/min(XX.X LBS/HR)</t>
  </si>
  <si>
    <t xml:space="preserve">    0 280 150 163  xxx cm3/min(XX.X LBS/HR)</t>
  </si>
  <si>
    <t>(x.x bar)(XX.X PSI)JAGUAR 5.3L V12(1985 -)(Front 2)(STYLE V)(IC-729)</t>
  </si>
  <si>
    <t xml:space="preserve">    0 280 150 164  xxx cm3/min(XX.X LBS/HR)</t>
  </si>
  <si>
    <t>(x.x bar)(XX.X PSI)JAGUAR 5.3L V12(1985 -)(Rear 10)(STYLE V)(IC-730)</t>
  </si>
  <si>
    <t xml:space="preserve">    0 280 150 165  xxx cm3/min(XX.X LBS/HR)</t>
  </si>
  <si>
    <t>(x.x bar)(XX.X PSI)JAGUAR 3.6L/4.0L(6 CYL)(IC-763)</t>
  </si>
  <si>
    <t xml:space="preserve">    0 280 150 166  xxx cm3/min(XX.X LBS/HR)</t>
  </si>
  <si>
    <t>(x.x bar)(XX.X PSI)JAGUAR(6 CYL)</t>
  </si>
  <si>
    <t xml:space="preserve">    0 280 150 200  300 cm3/min(29.0 LBS/HR)</t>
  </si>
  <si>
    <t>(3.0 bar)(43.5 PSI)BMW/PEUGEOT(N9TEU)</t>
  </si>
  <si>
    <t>MPI 0 280 150 201  236 cm3/min(22.8 LBS/HR)</t>
  </si>
  <si>
    <t>(3.0 bar)(43.5 PSI)BMW 2.3L/BMW 3.2L/(6 CYL)/3.5L(6 CYL)</t>
  </si>
  <si>
    <t>(STYLE II)(DARK GREY)(IC-009)</t>
  </si>
  <si>
    <t>(3.0 bar)(43.5 PSI)CHRYSLER 2.2L Turbo/2.5L Turbo</t>
  </si>
  <si>
    <t>(3.0 bar)(43.5 PSI)PONTIAC 1.8L Turbo/PORSCHE 2.5L</t>
  </si>
  <si>
    <t>MPI 0 280 150 203  185 cm3/min(17.9 LBS/HR)</t>
  </si>
  <si>
    <t>(2.5 bar)(36.3 PSI)FORD Mustang 5.0L V8(IC-560)</t>
  </si>
  <si>
    <t>MPI 0 280 150 203  195 cm3/min(18.8 LBS/HR)</t>
  </si>
  <si>
    <t>(2.7 bar)(39.2 PSI)BMW 3.4L(6 CYL)(IC-560)</t>
  </si>
  <si>
    <t xml:space="preserve">    0 280 150 204  167 cm3/min(16.1 LBS/HR)</t>
  </si>
  <si>
    <t xml:space="preserve">(2.5 bar)(36.3 PSI)VOLVO 2.1L(B21F)(IC-510) </t>
  </si>
  <si>
    <t xml:space="preserve">    0 280 150 205  170 cm3/min(16.4 LBS/HR)</t>
  </si>
  <si>
    <t>(2.5 bar)(36.3 PSI)MERCEDES-BENZ</t>
  </si>
  <si>
    <t xml:space="preserve">    0 280 150 206  167 cm3/min(16.1 LBS/HR)</t>
  </si>
  <si>
    <t>(2.5 bar)(36.3 PSI)VW Vanagon 1.9L/2.1L(IC-530)</t>
  </si>
  <si>
    <t xml:space="preserve">    0 280 150 207  107 cm3/min(10.3 LBS/HR)</t>
  </si>
  <si>
    <t>(2.5 bar)(36.3 PSI)</t>
  </si>
  <si>
    <t>MPI 0 280 150 208  133 cm3/min(12.8 LBS/HR)</t>
  </si>
  <si>
    <t>(2.5 bar)(36.3 PSI)BMW 323(STYLE V)(?)</t>
  </si>
  <si>
    <t>MPI 0 280 150 208  145 cm3/min(14.0 LBS/HR)</t>
  </si>
  <si>
    <t xml:space="preserve">(2.7 bar)(39.2 PSI)RENAULT 1.4L(STYLE V)(IC-500) </t>
  </si>
  <si>
    <t xml:space="preserve">    0 208 150 209  167 cm3/min(16.1 LBS/HR)</t>
  </si>
  <si>
    <t>(2.5 bar)(36.3 PSI)ROVER Maestro/Montego</t>
  </si>
  <si>
    <t xml:space="preserve">    0 280 150 209  176 cm3/min(17.0 LBS/HR)</t>
  </si>
  <si>
    <t xml:space="preserve">(3.0 bar)(43.5 PSI)VOLVO B200(?)/2.3L(B23F/B230F)(IC-509) </t>
  </si>
  <si>
    <t xml:space="preserve">    0 280 150 210  133 cm3/min(12.8 LBS/HR)</t>
  </si>
  <si>
    <t>(2.5 bar)(36.3 PSI)1985 BMW K-100 Motorcycle</t>
  </si>
  <si>
    <t xml:space="preserve">    0 280 150 211  146 cm3/min(14.1 LBS/HR)</t>
  </si>
  <si>
    <t>(3.0 bar)(43.5 PSI)BMW 1.8L/RENAULT 2.2L(IC-504)</t>
  </si>
  <si>
    <t>MPI 0 280 150 213  300 cm3/min(33.0 LBS/HR)</t>
  </si>
  <si>
    <t>(3.0 bar)(43.5 PSI)FORD 1.9L/2.3L(HIZ)(STYLE II)(IC-027)</t>
  </si>
  <si>
    <t xml:space="preserve">    0 280 150 214  185 cm3/min(17.9 LBS/HR)</t>
  </si>
  <si>
    <t xml:space="preserve">    0 280 150 215  214 cm3/min(20.7 LBS/HR)</t>
  </si>
  <si>
    <t xml:space="preserve">    0 280 150 216  214 cm3/min(20.7 LBS/HR)</t>
  </si>
  <si>
    <t>Compression ratio</t>
  </si>
  <si>
    <t>Boost pressure</t>
  </si>
  <si>
    <t>Effective comp</t>
  </si>
  <si>
    <t>Combustion Chamber</t>
  </si>
  <si>
    <t>Boost retard</t>
  </si>
  <si>
    <t>Degrees</t>
  </si>
  <si>
    <t>Octane Run</t>
  </si>
  <si>
    <t>Retard/psi</t>
  </si>
  <si>
    <t>Deg/psi</t>
  </si>
  <si>
    <t>MPI 0 280 150 217  167 cm3/min(16.1 LBS/HR)</t>
  </si>
  <si>
    <t>(2.5 bar)(36.3 PSI)BUICK 3.8L V6(STYLE II)(IC-012)</t>
  </si>
  <si>
    <t>MPI 0 280 150 218  280 cm3/min(27.0 LBS/HR)</t>
  </si>
  <si>
    <t>(2.5 bar)(36.3 PSI)1987 GN 3.8L Turbo(IC-215)</t>
  </si>
  <si>
    <t>MPI 0 280 150 218  304 cm3/min(29.4 LBS/HR)</t>
  </si>
  <si>
    <t>(3.0 bar)(43.5 PSI)1987 GN 3.8L Turbo(IC-215)</t>
  </si>
  <si>
    <t>MPI 0 280 150 218  309 cm3/min(29.8 LBS/HR)</t>
  </si>
  <si>
    <t>(3.1 bar)(45.0 PSI)1987 GN 3.8L Turbo(IC-215)</t>
  </si>
  <si>
    <t>MPI 0 280 150 219  167 cm3/min(16.1 LBS/HR)</t>
  </si>
  <si>
    <t>(2.5 bar)(36.3 PSI)FORD 2.0 SOHC 4cyl EFI</t>
  </si>
  <si>
    <t>MPI 0 280 150 220  146 cm3/min(14.1 LBS/HR)</t>
  </si>
  <si>
    <t>(3.0 bar)(43.5 PSI)BUICK 3.0L V6(IC-216)</t>
  </si>
  <si>
    <t>MPI 0 280 150 221  149.6 (CH20V3)</t>
  </si>
  <si>
    <t xml:space="preserve">(x.x bar)(XX.X PSI)GM V-6(STYLE VI)(IC-026) </t>
  </si>
  <si>
    <t>MPI 0 280 150 222  xxx cm3/min(XX.X LBS/HR)</t>
  </si>
  <si>
    <t>(x.x bar)(XX.X PSI)'85-'86 CHEV 5.0L V8(BLACK)(STYLE II)(IC-010)(5235047)</t>
  </si>
  <si>
    <t>MPI 0 280 150 223  223 cm3/min(21.5 LBS/HR)</t>
  </si>
  <si>
    <t>(2.5 bar)(36.0 PSI)? 1985 Vette 350(16.15 Ohms)(IC-217)</t>
  </si>
  <si>
    <t>MPI 0 280 150 223  269 cm3/min(26.0 LBS/HR)</t>
  </si>
  <si>
    <t>(x.x bar)(XX.X PSI)? 1985 Vette 350(16.15 Ohms)(IC-217)</t>
  </si>
  <si>
    <t>MPI 0 280 150 227  171.0 (HEPTANE)</t>
  </si>
  <si>
    <t>(x.x bar)(XX.X PSI)1987 ROVER 3.5L V8</t>
  </si>
  <si>
    <t>MPI 0 280 150 228  xxx cm3/min(XX.X LBS/HR)</t>
  </si>
  <si>
    <t>(x.x bar)(XX.X PSI)(IC-032 &amp; IC-075)</t>
  </si>
  <si>
    <t>MPI 0 280 150 229  xxx cm3/min(XX.X LBS/HR)</t>
  </si>
  <si>
    <t>(x.x bar)(XX.X PSI)FORD 1.9L/2.3L/3.0L V6/3.8L V6/5.0L V8(STYLE II)(IC-031)</t>
  </si>
  <si>
    <t>(x.x bar)(XX.X PSI)FORD Truck 2.9L V6/3.0L V6/4.9L(6 CYL)(STYLE II)(IC-031)</t>
  </si>
  <si>
    <t>MPI 0 280 150 231  xxx cm3/min(XX.X LBS/HR)</t>
  </si>
  <si>
    <t>(x.x bar)(XX.X PSI)BUICK 3.0L V6(WHITE)(IC-218)</t>
  </si>
  <si>
    <t>redline</t>
  </si>
  <si>
    <t>rpm</t>
  </si>
  <si>
    <t>Basic flow</t>
  </si>
  <si>
    <t>Boost (above)</t>
  </si>
  <si>
    <t>Pressure Ratio</t>
  </si>
  <si>
    <t>Total Flow</t>
  </si>
  <si>
    <t>STD CFM</t>
  </si>
  <si>
    <t>MPI 0 280 150 232  xxx cm3/min(XX.X LBS/HR)</t>
  </si>
  <si>
    <t>(x.x bar)(XX.X PSI)1986 Vette 350(IC-219)</t>
  </si>
  <si>
    <t>MPI 0 280 150 233  xxx cm3/min(XX.X LBS/HR)</t>
  </si>
  <si>
    <t>(x.x bar)(XX.X PSI)CADILLAC 4.1L V8(STYLE II)(IC-035)</t>
  </si>
  <si>
    <t>MPI 0 280 150 235  xxx cm3/min(XX.X LBS/HR)</t>
  </si>
  <si>
    <t xml:space="preserve">(x.x bar)(XX.X PSI)BUICK 3.8L V6(STYLE II)(IC-012) </t>
  </si>
  <si>
    <t>MPI 0 280 150 236  xxx cm3/min(XX.X LBS/HR)</t>
  </si>
  <si>
    <t>MPI 0 280 150 237  xxx cm3/min(XX.X LBS/HR)</t>
  </si>
  <si>
    <t>Manufacturer</t>
  </si>
  <si>
    <t>Part Number</t>
  </si>
  <si>
    <t>cc per minute</t>
  </si>
  <si>
    <t>Colour</t>
  </si>
  <si>
    <t>lbs per hour</t>
  </si>
  <si>
    <t>Est. hp. each</t>
  </si>
  <si>
    <t>Test Press.</t>
  </si>
  <si>
    <t>kPa</t>
  </si>
  <si>
    <t>Vehicles</t>
  </si>
  <si>
    <t>Engine</t>
  </si>
  <si>
    <t>Bosch</t>
  </si>
  <si>
    <t>Â </t>
  </si>
  <si>
    <t>Nippon Denso</t>
  </si>
  <si>
    <t>light green</t>
  </si>
  <si>
    <t>Toyota</t>
  </si>
  <si>
    <t>4KE</t>
  </si>
  <si>
    <t>green</t>
  </si>
  <si>
    <t>1GE</t>
  </si>
  <si>
    <t>Lucas</t>
  </si>
  <si>
    <t>Ford</t>
  </si>
  <si>
    <t>1.6L</t>
  </si>
  <si>
    <t>Startlet</t>
  </si>
  <si>
    <t>red/</t>
  </si>
  <si>
    <t>dark blue</t>
  </si>
  <si>
    <t>3EE</t>
  </si>
  <si>
    <t>violet</t>
  </si>
  <si>
    <t>3EE, 2EE</t>
  </si>
  <si>
    <t>sky-blue</t>
  </si>
  <si>
    <t>1GFE</t>
  </si>
  <si>
    <t>4AFE</t>
  </si>
  <si>
    <t>Buick</t>
  </si>
  <si>
    <t>Renault</t>
  </si>
  <si>
    <t>Volvo</t>
  </si>
  <si>
    <t>B200,B230</t>
  </si>
  <si>
    <t>grey</t>
  </si>
  <si>
    <t>dark grey</t>
  </si>
  <si>
    <t>4AGE</t>
  </si>
  <si>
    <t>4ME,5ME, 5MGE</t>
  </si>
  <si>
    <t>0 280 150 100</t>
  </si>
  <si>
    <t>0 280 150 114</t>
  </si>
  <si>
    <t>0 280 150 116</t>
  </si>
  <si>
    <t>0 280 150 125</t>
  </si>
  <si>
    <t>Chev</t>
  </si>
  <si>
    <t>5.0L</t>
  </si>
  <si>
    <t>Fiat</t>
  </si>
  <si>
    <t>Alfa</t>
  </si>
  <si>
    <t>325E</t>
  </si>
  <si>
    <t>1.8L</t>
  </si>
  <si>
    <t>Nissan</t>
  </si>
  <si>
    <t>280ZX</t>
  </si>
  <si>
    <t>(x.x bar)(XX.X PSI)BUICK 3.0L V6(IC-218)</t>
  </si>
  <si>
    <t>MPI 0 280 150 238  xxx cm3/min(XX.X LBS/HR)</t>
  </si>
  <si>
    <t>(x.x bar)(XX.X PSI)'85-'88 CHEV 5.0L V8(STYLE II)(IC-010)</t>
  </si>
  <si>
    <t>MPI 0 280 150 239  223 cm3/min(21.5 LBS/HR)</t>
  </si>
  <si>
    <t>(3.0 bar)(43.5 PSI)'86-'87 Vette 350 (16.15 Ohms)(IC-219)</t>
  </si>
  <si>
    <t>MPI 0 280 150 255  xxx cm3/min(XX.X LBS/HR)</t>
  </si>
  <si>
    <t>(x.x bar)(XX.X PSI)PEUGEOT 2.15L Turbo(N9T)(IC-539)</t>
  </si>
  <si>
    <t>MPI 0 280 150 334  xxx cm3/min(XX.X LBS/HR)</t>
  </si>
  <si>
    <t>MPI 0 280 150 335  300 cm3/min(29.0 LBS/HR)</t>
  </si>
  <si>
    <t>(3.0 bar)(43.5 PSI)VOLVO B230 Turbo</t>
  </si>
  <si>
    <t>MPI 0 280 150 351  560 cm3/min(54.1 LBS/HR)</t>
  </si>
  <si>
    <t>(2.7 bar)(39.2 PSI)? JUDD RACE(STYLE II)(HIZ)(BLACK)(IC-016)</t>
  </si>
  <si>
    <t>TBI 0 280 150 351  611 cm3/min(59.0 LBS/HR)</t>
  </si>
  <si>
    <t>(x.x bar)(XX.X PSI)? CHRYSLER 2.2L(STYLE II)(HIZ)(BLACK)(IC-016)</t>
  </si>
  <si>
    <t>TBI 0 280 150 351  735 cm3/min(71.0 LBS/HR)</t>
  </si>
  <si>
    <t>(3.0 bar)(44.1 PSI)? CHRYSLER 2.2L(STYLE II)(HIZ)(BLACK)(IC-016)</t>
  </si>
  <si>
    <t>MPI 0 280 150 352  xxx cm3/min(XX.X LBS/HR)</t>
  </si>
  <si>
    <t>(x.x bar)(XX.X PSI)BMW 2.3L/BMW 3.2L(6 CYL)/3.4L(6 CYL)(STYLE II)(IC-009)</t>
  </si>
  <si>
    <t>(x.x bar)(XX.X PSI)CHRYSLER 2.2L Turbo/2.5L Turbo(STYLE II)(IC-009)</t>
  </si>
  <si>
    <t>(x.x bar)(XX.X PSI)PONTIAC 1.8L Turbo/PORSCHE 2.5L(STYLE II)(IC-009)</t>
  </si>
  <si>
    <t>MPI 0 280 150 353  xxx cm3/min(XX.X LBS/HR)</t>
  </si>
  <si>
    <t>(x.x bar)(XX.X PSI)FORD 1.6L(STYLE II)(IC-001)</t>
  </si>
  <si>
    <t>MPI 0 280 150 355  300 cm3/min(29.0 LBS/HR)</t>
  </si>
  <si>
    <t>(3.0 bar)(43.5 PSI)1984 VOLVO 2.3L(B23ET)(STYLE II)</t>
  </si>
  <si>
    <t>MPI 0 280 150 357  300 cm3/min(29.0 LBS/HR)</t>
  </si>
  <si>
    <t>kg/s</t>
  </si>
  <si>
    <t>Air Flow Convertor</t>
  </si>
  <si>
    <t>(x.x bar)(XX.X PSI)VOLVO 2.3L Turbo(B230FT)(IC-541)</t>
  </si>
  <si>
    <t>MPI 0 280 150 360  xxx cm3/min(XX.X LBS/HR)</t>
  </si>
  <si>
    <t>MPI 0 280 150 362  xxx cm3/min(XX.X LBS/HR)</t>
  </si>
  <si>
    <t>TBI 0 280 150 363  xxx cm3/min(XX.X LBS/HR)</t>
  </si>
  <si>
    <t>(x.x bar)(XX.X PSI)CHRYSLER 2.2L(STYLE II)(IC-016)</t>
  </si>
  <si>
    <t>MPI 0 280 150 364  xxx cm3/min(XX.X LBS/HR)</t>
  </si>
  <si>
    <t>CFI 0 280 150 400  437 cm3/min(42.2 LBS/HR)</t>
  </si>
  <si>
    <t>(3.0 bar)(43.5 PSI)? FORD 5.0L V8(STYLE I)(BLUE)(IC-002)</t>
  </si>
  <si>
    <t>CFI 0 280 150 400  456 cm3/min(44.0 LBS/HR)</t>
  </si>
  <si>
    <t>(x.x bar)(XX.X PSI)? FORD 5.0L V8(STYLE I)(BLUE)(IC-002)</t>
  </si>
  <si>
    <t xml:space="preserve">    0 280 150 401  437 cm3/min(42.2 LBS/HR)</t>
  </si>
  <si>
    <t>(3.0 bar)(43.5 PSI)FORD</t>
  </si>
  <si>
    <t>CFI 0 280 150 402  338 cm3/min(32.6 LBS/HR)</t>
  </si>
  <si>
    <t>(3.0 bar)(43.5 PSI)? FORD 3.8L V6(E3VE-9F593-AA)(STYLE I)(IC-003)</t>
  </si>
  <si>
    <t>CFI 0 280 150 402  362 cm3/min(35.0 LBS/HR)</t>
  </si>
  <si>
    <t>(x.x bar)(XX.X PSI)? FORD 3.8L V6(E3VE-9F593-AA)(STYLE I)(IC-003)</t>
  </si>
  <si>
    <t>CFI 0 280 150 402  402 cm3/min(38.8 LBS/HR)</t>
  </si>
  <si>
    <t>CFI 0 280 150 403  503 cm3/min(48.6 LBS/HR)</t>
  </si>
  <si>
    <t>(3.0 bar)(43.5 PSI)? FORD 5.0L V8/B&amp;M SUPERJECTION(STYLE V)(WHITE)(IC-214)</t>
  </si>
  <si>
    <t>CFI 0 280 150 403  518 cm3/min(50.0 LBS/HR)</t>
  </si>
  <si>
    <t>(x.x bar)(XX.X PSI)? FORD 5.0L V8/B&amp;M SUPERJECTION(STYLE V)(WHITE)(IC-214)</t>
  </si>
  <si>
    <t xml:space="preserve">    0 280 150 415  xxx cm3/min(XX.X LBS/HR)</t>
  </si>
  <si>
    <t>(x.x bar)(XX.X PSI)BMW 2.5L(6 CYL)(IC-731)</t>
  </si>
  <si>
    <t xml:space="preserve">    0 280 150 416  xxx cm3/min(XX.X LBS/HR)</t>
  </si>
  <si>
    <t>(x.x bar)(XX.X PSI)AUDI 3.6L V8(IC-732)</t>
  </si>
  <si>
    <t>(x.x bar)(XX.X PSI)FERRARI 512 Testarossa</t>
  </si>
  <si>
    <t xml:space="preserve">    0 280 150 422  260 cm3/min(25.1 LBS/HR)</t>
  </si>
  <si>
    <t>(2.7 bar)(39.2 PSI)</t>
  </si>
  <si>
    <t xml:space="preserve">    0 280 150 424  xxx cm3/min(XX.X LBS/HR)</t>
  </si>
  <si>
    <t>Altitude</t>
  </si>
  <si>
    <t>Pressure</t>
  </si>
  <si>
    <t>Temp.</t>
  </si>
  <si>
    <t>Density -</t>
  </si>
  <si>
    <t>(ft)</t>
  </si>
  <si>
    <t>(in. Hg)</t>
  </si>
  <si>
    <t>(F.)</t>
  </si>
  <si>
    <t>slugs per cubic foot</t>
  </si>
  <si>
    <t>(x.x bar)(XX.X PSI)AUDI 4.2L V8(IC-733)</t>
  </si>
  <si>
    <t xml:space="preserve">    0 280 150 428  xxx cm3/min(XX.X LBS/HR)</t>
  </si>
  <si>
    <t>(x.x bar)(XX.X PSI)SAAB 2.5L V6(IC-734)</t>
  </si>
  <si>
    <t xml:space="preserve">    0 280 150 431  xxx cm3/min(XX.X LBS/HR)</t>
  </si>
  <si>
    <t>(x.x bar)(XX.X PSI)SAAB 2.3L Turbo(IC-735)</t>
  </si>
  <si>
    <t xml:space="preserve">    0 280 150 432  xxx cm3/min(XX.X LBS/HR)</t>
  </si>
  <si>
    <t>(x.x bar)(XX.X PSI)SAAB 2.3L(IC-736)</t>
  </si>
  <si>
    <t xml:space="preserve">    0 280 150 440  xxx cm3/min(XX.X LBS/HR)</t>
  </si>
  <si>
    <t>(x.x bar)(XX.X PSI)BMW</t>
  </si>
  <si>
    <t xml:space="preserve">    0 280 150 447  xxx cm3/min(XX.X LBS/HR)</t>
  </si>
  <si>
    <t>(x.x bar)(XX.X PSI)AUDI A4/VOLKSWAGEN Passat</t>
  </si>
  <si>
    <t xml:space="preserve">    0 280 150 449  xxx cm3/min(XX.X LBS/HR)</t>
  </si>
  <si>
    <t>(x.x bar)(XX.X PSI)FERRARI 456GT/550 Maranello</t>
  </si>
  <si>
    <t xml:space="preserve">    0 280 150 455  xxx cm3/min(XX.X LBS/HR)</t>
  </si>
  <si>
    <t>(x.x bar)(XX.X PSI)PORSCHE Boxster</t>
  </si>
  <si>
    <t xml:space="preserve">    0 280 150 501  xxx cm3/min(XX.X LBS/HR)</t>
  </si>
  <si>
    <t xml:space="preserve">    0 280 150 502  xxx cm3/min(XX.X LBS/HR)</t>
  </si>
  <si>
    <t>(x.x bar)(XX.X PSI)KIA Sportage</t>
  </si>
  <si>
    <t xml:space="preserve">    0 280 150 504  xxx cm3/min(XX.X LBS/HR)</t>
  </si>
  <si>
    <t xml:space="preserve">    0 280 150 508  xxx cm3/min(XX.X LBS/HR)</t>
  </si>
  <si>
    <t>(x.x bar)(XX.X PSI)AUDI A8</t>
  </si>
  <si>
    <t>TBI 0 280 150 600  xxx cm3/min(XX.X LBS/HR)</t>
  </si>
  <si>
    <t>(x.x bar)(XX.X PSI)FORD 2.3L(E43E-9F593-AA)(BLUE)(IC-004)</t>
  </si>
  <si>
    <t>TBI 0 280 150 601  514 cm3/min(49.6 LBS/HR)</t>
  </si>
  <si>
    <t>21.50*(2.5 bar)(36.3 PSI)FORD 2.5L(E53E-9F593-AA)(GREEN)(IC-000)(* @ 2.5 msec)</t>
  </si>
  <si>
    <t>TBI 0 280 150 604  xxx cm3/min(XX.X LBS/HR)</t>
  </si>
  <si>
    <t>(x.x bar)(XX.X PSI)FORD 1.9L(E7EE-9F593-CA)(WHITE)(IC-221)</t>
  </si>
  <si>
    <t>TBI 0 280 150 606  xxx cm3/min(XX.X LBS/HR)</t>
  </si>
  <si>
    <t>TBI 0 280 150 607  xxx cm3/min(XX.X LBS/HR)</t>
  </si>
  <si>
    <t>CFI 0 280 150 608  441 cm3/min(42.6 LBS/HR)</t>
  </si>
  <si>
    <t>12.82*(2.5 bar)(36.3 PSI)FORD(* @ 2.0 msec)</t>
  </si>
  <si>
    <t xml:space="preserve">    0 280 150 614  189 cm3/min(18.3 LBS/HR)</t>
  </si>
  <si>
    <t>TBI 0 280 150 621  xxx cm3/min(XX.X LBS/HR)</t>
  </si>
  <si>
    <t>TBI 0 280 150 628  xxx cm3/min(XX.X LBS/HR)</t>
  </si>
  <si>
    <t>TBI 0 280 150 636  xxx cm3/min(XX.X LBS/HR)</t>
  </si>
  <si>
    <t>TBI 0 280 150 637  xxx cm3/min(XX.X LBS/HR)</t>
  </si>
  <si>
    <t>(x.x bar)(XX.X PSI)DODGE Truck 3.9L V6(IC-227)</t>
  </si>
  <si>
    <t>TBI 0 280 150 640  xxx cm3/min(XX.X LBS/HR)</t>
  </si>
  <si>
    <t>TBI 0 280 150 642  xxx cm3/min(XX.X LBS/HR)</t>
  </si>
  <si>
    <t>TBI 0 280 150 652  xxx cm3/min(XX.X LBS/HR)</t>
  </si>
  <si>
    <t>(x.x bar)(XX.X PSI)GEO 1.6L(IC-236)</t>
  </si>
  <si>
    <t>TBI 0 280 150 653  xxx cm3/min(XX.X LBS/HR)</t>
  </si>
  <si>
    <t>TBI 0 280 150 655  xxx cm3/min(XX.X LBS/HR)</t>
  </si>
  <si>
    <t>(x.x bar)(XX.X PSI)DODGE Truck(IC-085)</t>
  </si>
  <si>
    <t>TBI 0 280 150 656  xxx cm3/min(XX.X LBS/HR)</t>
  </si>
  <si>
    <t>TBI 0 280 150 661  xxx cm3/min(XX.X LBS/HR)</t>
  </si>
  <si>
    <t>(x.x bar)(XX.X PSI)GEO 1.0L(IC-236)</t>
  </si>
  <si>
    <t>TBI 0 280 150 665  xxx cm3/min(XX.X LBS/HR)</t>
  </si>
  <si>
    <t>(x.x bar)(XX.X PSI)CHRYSLER 2.5L(IC-125)</t>
  </si>
  <si>
    <t>TBI 0 280 150 671  xxx cm3/min(XX.X LBS/HR)</t>
  </si>
  <si>
    <t>(x.x bar)(XX.X PSI)GEO 1.6L(IC-613)</t>
  </si>
  <si>
    <t>TBI 0 280 150 674  xxx cm3/min(XX.X LBS/HR)</t>
  </si>
  <si>
    <t xml:space="preserve">    0 280 150 701  xxx cm3/min(XX.X LBS/HR)</t>
  </si>
  <si>
    <t>(x.x bar)(XX.X PSI)BMW 3.5L(6 CYL)(IC-553)</t>
  </si>
  <si>
    <t>MPI 0 280 150 702  189 cm3/min(18.3 LBS/HR)</t>
  </si>
  <si>
    <t>(3.0 bar)(43.5 PSI)ALFA 3.0L V6(IC-569)</t>
  </si>
  <si>
    <t xml:space="preserve">    0 280 150 703  149 cm3/min(14.4 LBS/HR)</t>
  </si>
  <si>
    <t>(3.0 bar)(43.5 PSI)ROVER 1.4 'K' MPI</t>
  </si>
  <si>
    <t xml:space="preserve">    0 280 150 704  170 cm3/min(16.4 LBS/HR)</t>
  </si>
  <si>
    <t xml:space="preserve">    0 280 150 705  xxx cm3/min(XX.X LBS/HR)</t>
  </si>
  <si>
    <t>(x.x bar)(XX.X PSI)YUGO 1.3L(IC-554)</t>
  </si>
  <si>
    <t>MPI 0 280 150 706  214 cm3/min(20.7 LBS/HR)</t>
  </si>
  <si>
    <t>(2.5 bar)(36.3 PSI)1985 - 86 PORSCHE 5.0L V8/SAAB 2.0L Turbo(IC-556)</t>
  </si>
  <si>
    <t>MPI 0 280 150 710  xxx cm3/min(XX.X LBS/HR)</t>
  </si>
  <si>
    <t>MPI 0 280 150 711  xxx cm3/min(XX.X LBS/HR)</t>
  </si>
  <si>
    <t>(x.x bar)(XX.X PSI)SAAB 2.0L(IC-555)</t>
  </si>
  <si>
    <t>MPI 0 280 150 712  214 cm3/min(20.7 LBS/HR)</t>
  </si>
  <si>
    <t xml:space="preserve">(2.5 bar)(36.3 PSI)SAAB 2.0L Turbo(IC-557) </t>
  </si>
  <si>
    <t>MPI 0 280 150 714  xxx cm3/min(XX.X LBS/HR)</t>
  </si>
  <si>
    <t>(x.x bar)(XX.X PSI)BMW 1.8L/3.4L(6 CYL)(IC-540)</t>
  </si>
  <si>
    <t>MPI 0 280 150 715  149 cm3/min(14.4 LBS/HR)</t>
  </si>
  <si>
    <t>(3.0 bar)(43.5 PSI)BMW 1.8L/2.5(6 CYL)/5.0L V12(IC-570)</t>
  </si>
  <si>
    <t>Inlet Temp</t>
  </si>
  <si>
    <t>F</t>
  </si>
  <si>
    <t>C</t>
  </si>
  <si>
    <t>Outlet Temp</t>
  </si>
  <si>
    <t>Compressor eff</t>
  </si>
  <si>
    <t>h1</t>
  </si>
  <si>
    <t>Pr1</t>
  </si>
  <si>
    <t>h2</t>
  </si>
  <si>
    <t>Pr2</t>
  </si>
  <si>
    <t>H2a</t>
  </si>
  <si>
    <t>Delta T</t>
  </si>
  <si>
    <t>Supercharger/Turbocharger Exit Air Temp</t>
  </si>
  <si>
    <t>Engine Temperature</t>
  </si>
  <si>
    <t>Octane</t>
  </si>
  <si>
    <t>Base Octane Requirement</t>
  </si>
  <si>
    <t>Air temperature</t>
  </si>
  <si>
    <t>Adjustment for Air Temp</t>
  </si>
  <si>
    <t>Adjustment for Engine Temp</t>
  </si>
  <si>
    <t>(R+M)/2</t>
  </si>
  <si>
    <t>Atmospheric</t>
  </si>
  <si>
    <t>% hp at</t>
  </si>
  <si>
    <t>(feet)</t>
  </si>
  <si>
    <t>Altitude Deration Calculations</t>
  </si>
  <si>
    <t>7500 ft</t>
  </si>
  <si>
    <t>12,000 ft</t>
  </si>
  <si>
    <t>15,000 ft</t>
  </si>
  <si>
    <t>16,000 ft</t>
  </si>
  <si>
    <t>MPI 0 280 150 716  134 cm3/min(12.9 LBS/HR)</t>
  </si>
  <si>
    <t>(3.0 bar)(43.5 PSI)BMW 2.7L(6 CYL)(IC-571)</t>
  </si>
  <si>
    <t>Note:  This calculator is for positive displacement compressors only.</t>
  </si>
  <si>
    <t xml:space="preserve">in </t>
  </si>
  <si>
    <t>MPI 0 280 150 718  181 cm3/min(17.5 LBS/HR)</t>
  </si>
  <si>
    <t>(2.7 bar)(39.2 PSI)86 Mustang 5.0L(14.5 Ohms)(IC-032 &amp; IC-075)</t>
  </si>
  <si>
    <t xml:space="preserve">    0 280 150 725  170 cm3/min(16.4 LBS/HR)</t>
  </si>
  <si>
    <t>(2.5 bar)(36.3 PSI)GM 2.0L 8V/VOLVO 2.3L(B230F)(IC-574)</t>
  </si>
  <si>
    <t>MPI 0 280 150 727  131 cm3/min(12.6 LBS/HR)</t>
  </si>
  <si>
    <t>(2.5 bar)(36.3 PSI)FORD 1.9L/2.3L/3.0L V6/3.8L V6/5.0L V8(STYLE II)(IC-031)</t>
  </si>
  <si>
    <t>(2.5 bar)(36.3 PSI)FORD Truck 2.9L V6/3.0L V6/4.9L(6 CYL)(STYLE II)(IC-031)</t>
  </si>
  <si>
    <t>MPI 0 280 150 728  228 cm3/min(22.0 LBS/HR)</t>
  </si>
  <si>
    <t>(2.7 bar)(39.2 PSI)FORD Truck 7.5L V8(14.5 Ohms)(STYLE II)(IC-053)</t>
  </si>
  <si>
    <t>MPI 0 280 150 730  xxx cm3/min(XX.X LBS/HR)</t>
  </si>
  <si>
    <t>(x.x bar)(XX.X PSI)1987 - 91 PORSCHE 5.0L V8(IC-558)</t>
  </si>
  <si>
    <t xml:space="preserve">    0 280 150 731  xxx cm3/min(XX.X LBS/HR)</t>
  </si>
  <si>
    <t xml:space="preserve">(x.x bar)(XX.X PSI)PORSCHE 3.6L(6 CYL)(IC-551) </t>
  </si>
  <si>
    <t xml:space="preserve">    0 280 150 734  200 cm3/min(19.3 LBS/HR)</t>
  </si>
  <si>
    <t>Speeds</t>
  </si>
  <si>
    <t>Acceleration</t>
  </si>
  <si>
    <t>Speeds (mph)</t>
  </si>
  <si>
    <t>Times (s)</t>
  </si>
  <si>
    <t>Force</t>
  </si>
  <si>
    <t>Mass (kg)</t>
  </si>
  <si>
    <t>m/s^2</t>
  </si>
  <si>
    <t>N</t>
  </si>
  <si>
    <t>Rolling Friction</t>
  </si>
  <si>
    <t>Front Area</t>
  </si>
  <si>
    <t>sq-ft</t>
  </si>
  <si>
    <t>m^2</t>
  </si>
  <si>
    <t>Cd</t>
  </si>
  <si>
    <t>Rho (kg/m^3)</t>
  </si>
  <si>
    <t>Air Drag</t>
  </si>
  <si>
    <t>m/s</t>
  </si>
  <si>
    <t>Speed</t>
  </si>
  <si>
    <t>RPM</t>
  </si>
  <si>
    <t>Engine Estimate</t>
  </si>
  <si>
    <t>Peak Wheel Power</t>
  </si>
  <si>
    <t>Indexed Values</t>
  </si>
  <si>
    <t>Shift RPM</t>
  </si>
  <si>
    <t>Trans</t>
  </si>
  <si>
    <t>Ratios</t>
  </si>
  <si>
    <t>Axle</t>
  </si>
  <si>
    <t>Tire Height</t>
  </si>
  <si>
    <t>Rev/mi</t>
  </si>
  <si>
    <t>Wheel Power</t>
  </si>
  <si>
    <t>Torque</t>
  </si>
  <si>
    <t>(2.5 bar)(36.3 PSI)PEUGEOT 1.9L/2.2L/2.85L V6(IC-574)</t>
  </si>
  <si>
    <t xml:space="preserve">    0 280 150 737  xxx cm3/min(XX.X LBS/HR)</t>
  </si>
  <si>
    <t>(x.x bar)(XX.X PSI)AUDI 2.2L Turbo(IC-585)</t>
  </si>
  <si>
    <t>MPI 0 280 150 742  xxx cm3/min(XX.X LBS/HR)</t>
  </si>
  <si>
    <t xml:space="preserve">    0 280 150 744  214 cm3/min(20.7 LBS/HR)</t>
  </si>
  <si>
    <t>(2.5 bar)(36.3 PSI)GM 2.0L 16V</t>
  </si>
  <si>
    <t xml:space="preserve">    0 280 150 745  xxx cm3/min(XX.X LBS/HR)</t>
  </si>
  <si>
    <t>(x.x bar)(XX.X PSI)HYUNDAI 1.6L/2.0L/3.0L V6(IC-699)</t>
  </si>
  <si>
    <t xml:space="preserve">    0 280 150 749  xxx cm3/min(XX.X LBS/HR)</t>
  </si>
  <si>
    <t xml:space="preserve">(x.x bar)(XX.X PSI)VOLVO 2.3L(B230F)(IC-574) </t>
  </si>
  <si>
    <t>MPI 0 280 150 756  321 cm3/min(31.0 LBS/HR)</t>
  </si>
  <si>
    <t>(3.0 bar)(43.5 PSI)? FORD 3.8L S/C V6/GM Truck 4.3L V6 Turbo</t>
  </si>
  <si>
    <t>(14.5 Ohms)(STYLE II)(IC-050)</t>
  </si>
  <si>
    <t>MPI 0 280 150 756  331 cm3/min(32.0 LBS/HR)</t>
  </si>
  <si>
    <t>(3.1 bar)(45.0 PSI)? FORD 3.8L S/C V6/GM Truck 4.3L V6 Turbo</t>
  </si>
  <si>
    <t>MPI 0 280 150 759  226 cm3/min(21.8 LBS/HR)</t>
  </si>
  <si>
    <t>(2.7 bar)(39.2 PSI)89-90 Truck 460(14.5 Ohms)(STYLE II)(IC-051)</t>
  </si>
  <si>
    <t xml:space="preserve">    0 280 150 760  xxx cm3/min(XX.X LBS/HR)</t>
  </si>
  <si>
    <t>(x.x bar)(XX.X PSI)SAAB 2.0L(IC-737)</t>
  </si>
  <si>
    <t xml:space="preserve">    0 280 150 761  xxx cm3/min(XX.X LBS/HR)</t>
  </si>
  <si>
    <t>(x.x bar)(XX.X PSI)SAAB 2.0L Turbo(IC-738)</t>
  </si>
  <si>
    <t>MPI 0 280 150 762  214 cm3/min(20.7 LBS/HR)</t>
  </si>
  <si>
    <t>(3.0 bar)(43.5 PSI)VOLVO 2.3L(B230F)(IC-574)</t>
  </si>
  <si>
    <t>MPI 0 280 150 766  xxx cm3/min(XX.X LBS/HR)</t>
  </si>
  <si>
    <t>(x.x bar)(XX.X PSI)FORD 4.9L(6 CYL)(IC-077)</t>
  </si>
  <si>
    <t xml:space="preserve">    0 280 150 773  xxx cm3/min(XX.X LBS/HR)</t>
  </si>
  <si>
    <t>(x.x bar)(XX.X PSI)HYUNDAI 1.5L(IC-700)</t>
  </si>
  <si>
    <t>MPI 0 280 150 774  xxx cm3/min(XX.X LBS/HR)</t>
  </si>
  <si>
    <t xml:space="preserve">(x.x bar)(XX.X PSI)CHRYSLER 3.0L V6/GM 3.8L V6 S/C(IC-142) </t>
  </si>
  <si>
    <t>MPI 0 280 150 775  196 cm3/min(18.9 LBS/HR)</t>
  </si>
  <si>
    <t>(3.3 bar)(47.9 PSI)</t>
  </si>
  <si>
    <t xml:space="preserve">    0 280 150 776  xxx cm3/min(XX.X LBS/HR)</t>
  </si>
  <si>
    <t>(x.x bar)(XX.X PSI)HYUNDAI 1.5L Turbo(IC-701)</t>
  </si>
  <si>
    <t xml:space="preserve">    0 280 150 778  xxx cm3/min(XX.X LBS/HR)</t>
  </si>
  <si>
    <t>(x.x bar)(XX.X PSI)BMW 3.0L &amp; 4.0L V8(IC-739)</t>
  </si>
  <si>
    <t xml:space="preserve">    0 280 150 779  xxx cm3/min(XX.X LBS/HR)</t>
  </si>
  <si>
    <t>(x.x bar)(XX.X PSI)VOLVO 2.4L(5 CYL)(IC-740)</t>
  </si>
  <si>
    <t xml:space="preserve">    0 280 150 785  xxx cm3/min(XX.X LBS/HR)</t>
  </si>
  <si>
    <t>(x.x bar)(XX.X PSI)VOLVO 2.4L Turbo(5 CYL)(IC-741)</t>
  </si>
  <si>
    <t xml:space="preserve">    0 280 150 786  xxx cm3/min(XX.X LBS/HR)</t>
  </si>
  <si>
    <t>(x.x bar)(XX.X PSI)PORSCHE 911 Carrera 3.6L(6 CYL)(IC-742)</t>
  </si>
  <si>
    <t>MPI 0 280 150 802  284 cm3/min(27.4 LBS/HR)</t>
  </si>
  <si>
    <t>(3.0 bar)(43.5 PSI)PEUGEOT 2.2L Turbo(N9TE)/RENAULT J7R Turbo</t>
  </si>
  <si>
    <t>(STYLE II)(IC-743)</t>
  </si>
  <si>
    <t>(3.0 bar)(43.5 PSI)VOLVO B200 Turbo(STYLE II)(IC-743)</t>
  </si>
  <si>
    <t xml:space="preserve">    0 280 150 803  383 cm3/min(37.0 LBS/HR)</t>
  </si>
  <si>
    <t>(x.x bar)(XX.X PSI)? PORSCHE 944 2.5L Turbo(HIZ)(STYLE V)(GREEN)(IC-744)</t>
  </si>
  <si>
    <t xml:space="preserve">    0 280 150 803  390 cm3/min(37.7 LBS/HR)</t>
  </si>
  <si>
    <t>(2.7 bar)(39.2 PSI)PORSCHE 944 2.5L Turbo(HIZ)(STYLE V)(GREEN)(IC-744)</t>
  </si>
  <si>
    <t xml:space="preserve">    0 280 150 803  414 cm3/min(40.0 LBS/HR)</t>
  </si>
  <si>
    <t>(3.1 bar)(45.0 PSI)PORSCHE 944 2.5L Turbo(HIZ)(STYLE V)(GREEN)(IC-744)</t>
  </si>
  <si>
    <t xml:space="preserve">    0 280 150 804  337 cm3/min(32.5 LBS/HR)</t>
  </si>
  <si>
    <t>(3.0 bar)(43.5 PSI)VOLVO 2.3L Turbo(B230FT)(IC-575)</t>
  </si>
  <si>
    <t>MPI 0 280 150 808  331 cm3/min(32.0 LBS/HR)</t>
  </si>
  <si>
    <t>(3.8 bar)(55.0 PSI)CHRYSLER 2.2L Turbo II(STYLE II)(IC-054)</t>
  </si>
  <si>
    <t>MPI 0 280 150 810  xxx cm3/min(XX.X LBS/HR)</t>
  </si>
  <si>
    <t>(x.x bar)(XX.X PSI)PONTIAC 2.0L Turbo(STYLE II)(IC-055)</t>
  </si>
  <si>
    <t>MPI 0 280 150 811  298 cm3/min(28.8 LBS/HR)</t>
  </si>
  <si>
    <t>(3.5 bar)(50.8 PSI)PORSCHE 944 S 3.0L(IC-745)</t>
  </si>
  <si>
    <t>MPI 0 280 150 812  xxx cm3/min(XX.X LBS/HR)</t>
  </si>
  <si>
    <t>(x.x bar)(XX.X PSI)CHRYSLER 3.0L V6(STYLE II)(IC-005)</t>
  </si>
  <si>
    <t>MPI 0 280 150 813  xxx cm3/min(XX.X LBS/HR)</t>
  </si>
  <si>
    <t>(x.x bar)(XX.X PSI)CHRYSLER 2.5L Turbo(IC-224)</t>
  </si>
  <si>
    <t xml:space="preserve">    0 280 150 814  384 cm3/min(37.1 LBS/HR)</t>
  </si>
  <si>
    <t>MPI 0 280 150 826  xxx cm3/min(XX.X LBS/HR)</t>
  </si>
  <si>
    <t>(x.x bar)(XX.X PSI)CHRYSLER 3.8L V6(IC-171)</t>
  </si>
  <si>
    <t>MPI 0 280 150 829  xxx cm3/min(XX.X LBS/HR)</t>
  </si>
  <si>
    <t>(x.x bar)(XX.X PSI)CHRYSLER 3.0L V6(IC-172)</t>
  </si>
  <si>
    <t>Ave HP Est</t>
  </si>
  <si>
    <t>HP by ave</t>
  </si>
  <si>
    <t>MPI 0 280 150 834  397 cm3/min(38.3 LBS/HR)</t>
  </si>
  <si>
    <t>(3.0 bar)(43.5 PSI)CHRYSLER 2.5L Flex Fuel(IC-173)</t>
  </si>
  <si>
    <t xml:space="preserve">    0 280 150 835  397 cm3/min(38.3 LBS/HR)</t>
  </si>
  <si>
    <t>(3.0 bar)(43.5 PSI)CHRYSLER</t>
  </si>
  <si>
    <t>MPI 0 280 150 837  xxx cm3/min(XX.X LBS/HR)</t>
  </si>
  <si>
    <t>(x.x bar)(XX.X PSI)CHRYSLER 5.2L V8 CNG(IC-171)</t>
  </si>
  <si>
    <t xml:space="preserve">    0 280 150 839  xxx cm3/min(XX.X LBS/HR)</t>
  </si>
  <si>
    <t>(x.x bar)(XX.X PSI)FORD 4.6L SOHC V8 CNG(IC-770)</t>
  </si>
  <si>
    <t>MPI 0 280 150 900  xxx cm3/min(XX.X LBS/HR)</t>
  </si>
  <si>
    <t>MPI 0 280 150 901  195 cm3/min(18.8 LBS/HR)</t>
  </si>
  <si>
    <t>(3.0 bar)(43.5 PSI)GM 3.8L V6/5.0L V8(15 Ohms)(STYLE II)(IC-052)</t>
  </si>
  <si>
    <t xml:space="preserve">    0 280 150 902  xxx cm3/min(XX.X LBS/HR)</t>
  </si>
  <si>
    <t>(x.x bar)(XX.X PSI)VW 1.8L(Digifant)(IC-746)</t>
  </si>
  <si>
    <t xml:space="preserve">    0 280 150 903  xxx cm3/min(XX.X LBS/HR)</t>
  </si>
  <si>
    <t>Air Pressure (psi)</t>
  </si>
  <si>
    <t>Percent decrease from previous</t>
  </si>
  <si>
    <t>(x.x bar)(XX.X PSI)VW 1.8L(IC-746)</t>
  </si>
  <si>
    <t xml:space="preserve">    0 280 150 905  xxx cm3/min(XX.X LBS/HR)</t>
  </si>
  <si>
    <t>(x.x bar)(XX.X PSI)VW Corrado 1.8L S/C(Digifant)</t>
  </si>
  <si>
    <t>MPI 0 280 150 907  xxx cm3/min(XX.X LBS/HR)</t>
  </si>
  <si>
    <t>(x.x bar)(XX.X PSI)FORD 3.8L V6/4.9L(6 CYL)(IC-078)</t>
  </si>
  <si>
    <t>MPI 0 280 150 909  xxx cm3/min(XX.X LBS/HR)</t>
  </si>
  <si>
    <t>(x.x bar)(XX.X PSI)FORD 3.8L V6/4.6L SOHC V8(STYLE II)(IC-045)</t>
  </si>
  <si>
    <t>MPI 0 280 150 911  311 cm3/min(30.0 LBS/HR)</t>
  </si>
  <si>
    <t>(2.5 bar)(36.3 PSI)1991 FORD 3.8L S/C(HIZ)(RED)(IC-079)</t>
  </si>
  <si>
    <t>MPI 0 280 150 911  342 cm3/min(33.0 LBS/HR)</t>
  </si>
  <si>
    <t>(3.1 bar)(45.0 PSI)1991 FORD 3.8L S/C(HIZ)(RED)(IC-079)</t>
  </si>
  <si>
    <t>MPI 0 280 150 912  321 cm3/min(31.0 LBS/HR)</t>
  </si>
  <si>
    <t>(3.0 bar)(43.5 PSI)1992 FORD 3.8L S/C(HIZ)(IC-079)</t>
  </si>
  <si>
    <t>MPI 0 280 150 913  xxx cm3/min(XX.X LBS/HR)</t>
  </si>
  <si>
    <t>(x.x bar)(XX.X PSI)FORD Truck 7.5L V8(IC-080)</t>
  </si>
  <si>
    <t xml:space="preserve">    0 280 150 917  xxx cm3/min(XX.X LBS/HR)</t>
  </si>
  <si>
    <t>(x.x bar)(XX.X PSI)GM 3.8L V6(IC-087)</t>
  </si>
  <si>
    <t xml:space="preserve">    0 280 150 921  xxx cm3/min(XX.X LBS/HR)</t>
  </si>
  <si>
    <t>(x.x bar)(XX.X PSI)AUDI 2.8L(6 CYL)(IC-748)</t>
  </si>
  <si>
    <t>MPI 0 280 150 925  xxx cm3/min(XX.X LBS/HR)</t>
  </si>
  <si>
    <t>(x.x bar)(XX.X PSI)DODGE Truck 3.9L V6(IC-174)</t>
  </si>
  <si>
    <t>MPI 0 280 150 926  xxx cm3/min(XX.X LBS/HR)</t>
  </si>
  <si>
    <t>MPI 0 280 150 927  xxx cm3/min(XX.X LBS/HR)</t>
  </si>
  <si>
    <t>(x.x bar)(XX.X PSI)CHRYSLER 3.8L V6(IC-126)</t>
  </si>
  <si>
    <t>MPI 0 280 150 928  xxx cm3/min(XX.X LBS/HR)</t>
  </si>
  <si>
    <t xml:space="preserve">    0 280 150 929  xxx cm3/min(XX.X LBS/HR)</t>
  </si>
  <si>
    <t>(x.x bar)(XX.X PSI)VW 2.8L(6 CYL)(Motronic)(IC-749)</t>
  </si>
  <si>
    <t xml:space="preserve">    0 280 150 931  xxx cm3/min(XX.X LBS/HR)</t>
  </si>
  <si>
    <t>(x.x bar)(XX.X PSI)FORD Truck 4.0L V6(IC-081)</t>
  </si>
  <si>
    <t>MPI 0 280 150 934  xxx cm3/min(XX.X LBS/HR)</t>
  </si>
  <si>
    <t>(x.x bar)(XX.X PSI)CHRYSLER 3.0L V6/GM 3.8L V6 S/C(IC-142)</t>
  </si>
  <si>
    <t xml:space="preserve">    0 280 150 937  xxx cm3/min(XX.X LBS/HR)</t>
  </si>
  <si>
    <t>(x.x bar)(XX.X PSI)FORD 1.9L/2.3L/4.9L(6 CYL)(IC-078)</t>
  </si>
  <si>
    <t xml:space="preserve">    0 280 150 938  xxx cm3/min(XX.X LBS/HR)</t>
  </si>
  <si>
    <t>MPI 0 280 150 939  xxx cm3/min(XX.X LBS/HR)</t>
  </si>
  <si>
    <t xml:space="preserve">    0 280 150 941  xxx cm3/min(XX.X LBS/HR)</t>
  </si>
  <si>
    <t>(x.x bar)(XX.X PSI)FORD 1.9L/2.3L(IC-078)</t>
  </si>
  <si>
    <t>MPI 0 280 150 943  xxx cm3/min(XX.X LBS/HR)</t>
  </si>
  <si>
    <t>MPI 0 280 150 945  xxx cm3/min(XX.X LBS/HR)</t>
  </si>
  <si>
    <t>(x.x bar)(XX.X PSI)1993 FORD 3.8L V6 S/C(IC-083)</t>
  </si>
  <si>
    <t>MPI 0 280 150 947  xxx cm3/min(XX.X LBS/HR)</t>
  </si>
  <si>
    <t>MPI 0 280 150 951  346 cm3/min(33.4 LBS/HR)</t>
  </si>
  <si>
    <t>(3.0 bar)(43.5 PSI)AUDI 2.2L(5 CYL)(IC-750)</t>
  </si>
  <si>
    <t xml:space="preserve">    0 280 150 953  xxx cm3/min(XX.X LBS/HR)</t>
  </si>
  <si>
    <t>(x.x bar)(XX.X PSI)VW 2.8L(6 CYL)(Motronic)(IC-764)</t>
  </si>
  <si>
    <t>lb/min</t>
  </si>
  <si>
    <t>Density Ratio</t>
  </si>
  <si>
    <t xml:space="preserve">    0 280 150 955  xxx cm3/min(XX.X LBS/HR)</t>
  </si>
  <si>
    <t>(x.x bar)(XX.X PSI)VW 2.0L(IC-751)</t>
  </si>
  <si>
    <t>MPI 0 280 150 957  xxx cm3/min(XX.X LBS/HR)</t>
  </si>
  <si>
    <t>(x.x bar)(XX.X PSI)CHRYSLER 3.8L/3.9L V6(IC-126)</t>
  </si>
  <si>
    <t>MPI 0 280 150 958  xxx cm3/min(XX.X LBS/HR)</t>
  </si>
  <si>
    <t xml:space="preserve">    0 280 150 960  xxx cm3/min(XX.X LBS/HR)</t>
  </si>
  <si>
    <t xml:space="preserve">    0 280 150 965  xxx cm3/min(XX.X LBS/HR)</t>
  </si>
  <si>
    <t>(x.x bar)(XX.X PSI)CHRYSLER 2.0L(IC-130)</t>
  </si>
  <si>
    <t>MPI 0 280 150 967  362 cm3/min(35.0 LBS/HR)</t>
  </si>
  <si>
    <t>(3.0 bar)(43.5 PSI)1994-95 FORD 3.0L V6 S/C(IC-084)(BLUE)</t>
  </si>
  <si>
    <t xml:space="preserve">    0 280 150 973  xxx cm3/min(XX.X LBS/HR)</t>
  </si>
  <si>
    <t>(x.x bar)(XX.X PSI)GM 3.8L V6(IC-091)</t>
  </si>
  <si>
    <t xml:space="preserve">    0 280 155 002  xxx cm3/min(XX.X LBS/HR)</t>
  </si>
  <si>
    <t>(x.x bar)(XX.X PSI)SAAB 2.3L(IC-714)</t>
  </si>
  <si>
    <t xml:space="preserve">    0 280 155 007  xxx cm3/min(XX.X LBS/HR)</t>
  </si>
  <si>
    <t>(x.x bar)(XX.X PSI)JAGUAR XJS 6.0L V12(IC-715)</t>
  </si>
  <si>
    <t xml:space="preserve">    0 280 155 008  xxx cm3/min(XX.X LBS/HR)</t>
  </si>
  <si>
    <t>(x.x bar)(XX.X PSI)SAAB 2.1L(IC-716)</t>
  </si>
  <si>
    <t xml:space="preserve">    0 280 155 009  340 cm3/min(32.8 LBS/HR)</t>
  </si>
  <si>
    <t>(2.7 bar)(39.2 PSI)SAAB 2.3L Turbo(IC-717)</t>
  </si>
  <si>
    <t xml:space="preserve">    0 280 155 010  xxx cm3/min(XX.X LBS/HR)</t>
  </si>
  <si>
    <t>(x.x bar)(XX.X PSI)PORSCHE 968 3.0L(IC-718)</t>
  </si>
  <si>
    <t xml:space="preserve">    0 280 155 013  xxx cm3/min(XX.X LBS/HR)</t>
  </si>
  <si>
    <t>(x.x bar)(XX.X PSI)1995 FERRARI F355</t>
  </si>
  <si>
    <t xml:space="preserve">    0 280 155 101  xxx cm3/min(XX.X LBS/HR)</t>
  </si>
  <si>
    <t>(x.x bar)(XX.X PSI)DODGE Truck 8.0L V10(IC-139)</t>
  </si>
  <si>
    <t xml:space="preserve">    0 280 155 104  xxx cm3/min(XX.X LBS/HR)</t>
  </si>
  <si>
    <t>(x.x bar)(XX.X PSI)'93-'94 BENTLEY/ROLLS</t>
  </si>
  <si>
    <t xml:space="preserve">    0 280 155 201  xxx cm3/min(XX.X LBS/HR)</t>
  </si>
  <si>
    <t>(x.x bar)(XX.X PSI)MERCEDES-BENZ 6.0L V12(IC-719)</t>
  </si>
  <si>
    <t xml:space="preserve">    0 280 155 203  xxx cm3/min(XX.X LBS/HR)</t>
  </si>
  <si>
    <t>(x.x bar)(XX.X PSI)MERCEDES-BENZ 5.0L V8(IC-720)</t>
  </si>
  <si>
    <t xml:space="preserve">    0 280 155 205  xxx cm3/min(XX.X LBS/HR)</t>
  </si>
  <si>
    <t xml:space="preserve">(x.x bar)(XX.X PSI)MERCEDES-BENZ 3.2L(6 CYL)(IC-721) </t>
  </si>
  <si>
    <t xml:space="preserve">    0 280 155 207  xxx cm3/min(XX.X LBS/HR)</t>
  </si>
  <si>
    <t>(x.x bar)(XX.X PSI)MERCEDES-BENZ 4.2L V8/5.0L V8(IC-724)</t>
  </si>
  <si>
    <t xml:space="preserve">    0 280 155 209  xxx cm3/min(XX.X LBS/HR)</t>
  </si>
  <si>
    <t>(x.x bar)(XX.X PSI)MERCEDES-BENZ 2.8L(6CYL)/3.2L(6 CYL)(IC-723)</t>
  </si>
  <si>
    <t xml:space="preserve">    0 280 155 213  xxx cm3/min(XX.X LBS/HR)</t>
  </si>
  <si>
    <t>(x.x bar)(XX.X PSI)1995 FERRARI 456GT</t>
  </si>
  <si>
    <t xml:space="preserve">    0 280 155 217  xxx cm3/min(XX.X LBS/HR)</t>
  </si>
  <si>
    <t xml:space="preserve">    0 280 155 219  xxx cm3/min(XX.X LBS/HR)</t>
  </si>
  <si>
    <t>(x.x bar)(XX.X PSI)MERCEDES-BENZ 6.0L V12(IC-725)</t>
  </si>
  <si>
    <t>TBI 0 280 155 604  xxx cm3/min(XX.X LBS/HR)</t>
  </si>
  <si>
    <t xml:space="preserve">(x.x bar)(XX.X PSI)VW 2.45L(5 CYL)(IC-726) </t>
  </si>
  <si>
    <t xml:space="preserve">    0 280 155 700  xxx cm3/min(XX.X LBS/HR)</t>
  </si>
  <si>
    <t>(x.x bar)(XX.X PSI)FORD 5.0L V8(IC-108)</t>
  </si>
  <si>
    <t xml:space="preserve">    0 280 155 702  xxx cm3/min(XX.X LBS/HR)</t>
  </si>
  <si>
    <t>(x.x bar)(XX.X PSI)VOLVO</t>
  </si>
  <si>
    <t xml:space="preserve">    0 280 155 703  xxx cm3/min(XX.X LBS/HR)</t>
  </si>
  <si>
    <t>(x.x bar)(XX.X PSI)CHRYSLER 2.0L/2.4L(IC-133)</t>
  </si>
  <si>
    <t xml:space="preserve">    0 280 155 712  xxx cm3/min(XX.X LBS/HR)</t>
  </si>
  <si>
    <t>(x.x bar)(XX.X PSI)SAAB</t>
  </si>
  <si>
    <t xml:space="preserve">    0 280 155 715  xxx cm3/min(XX.X LBS/HR)</t>
  </si>
  <si>
    <t>(x.x bar)(XX.X PSI)FORD 3.0L V6 DOHC(IC-765)</t>
  </si>
  <si>
    <t xml:space="preserve">    0 280 155 721  xxx cm3/min(XX.X LBS/HR)</t>
  </si>
  <si>
    <t>(x.x bar)(XX.X PSI)DODGE Truck 8.0L V10</t>
  </si>
  <si>
    <t xml:space="preserve">    0 280 155 737  xxx cm3/min(XX.X LBS/HR)</t>
  </si>
  <si>
    <t>(x.x bar)(XX.X PSI)GM 3.8L V6 S/C(IC-782)</t>
  </si>
  <si>
    <t xml:space="preserve">    0 280 155 742  xxx cm3/min(XX.X LBS/HR)</t>
  </si>
  <si>
    <t>(x.x bar)(XX.X PSI)MERCEDES-BENZ</t>
  </si>
  <si>
    <t xml:space="preserve">    0 280 155 746  xxx cm3/min(XX.X LBS/HR)</t>
  </si>
  <si>
    <t xml:space="preserve">    0 280 155 758  xxx cm3/min(XX.X LBS/HR)</t>
  </si>
  <si>
    <t xml:space="preserve">    0 280 155 766  xxx cm3/min(XX.X LBS/HR)</t>
  </si>
  <si>
    <t xml:space="preserve"> 222 cm3/min(21.4 LBS/HR)</t>
  </si>
  <si>
    <t>(2.5 bar)(36.3 PSI)PORSCHE</t>
  </si>
  <si>
    <t xml:space="preserve"> 173 cm3/min(16.7 LBS/HR)</t>
  </si>
  <si>
    <t>(2.5 bar)(36.3 PSI)ALFA ROMEO</t>
  </si>
  <si>
    <t xml:space="preserve"> 141 cm3/min(13.6 LBS/HR)</t>
  </si>
  <si>
    <t>(2.5 bar)(36.3 PSI)RENAULT</t>
  </si>
  <si>
    <t xml:space="preserve"> 176 cm3/min(17.0 LBS/HR)</t>
  </si>
  <si>
    <t>(2.5 bar)(36.3 PSI)BMW</t>
  </si>
  <si>
    <t xml:space="preserve"> 251 cm3/min(24.2 LBS/HR)</t>
  </si>
  <si>
    <t>(2.5 bar)(36.3 PSI)AUDI</t>
  </si>
  <si>
    <t xml:space="preserve">    B 280 410 144  434 cm3/min(41.9 LBS/HR)</t>
  </si>
  <si>
    <t>(x.x bar)(XX.X PSI)Bosch R-SPORT</t>
  </si>
  <si>
    <t xml:space="preserve">    B 280 410 153  600 cm3/min(57.9 LBS/HR)</t>
  </si>
  <si>
    <t>(2.5 bar)(36.3 PSI)(STYLE II)</t>
  </si>
  <si>
    <t xml:space="preserve">    B 280 410 153  800 cm3/min(77.2 LBS/HR)</t>
  </si>
  <si>
    <t>(5.0 bar)(72.5 PSI)(STYLE II)</t>
  </si>
  <si>
    <t xml:space="preserve">    B 280 412 911  800 cm3/min(77.2 LBS/HR)</t>
  </si>
  <si>
    <t>(2.5 bar)(36.3 PSI)BMotorsport(STYLE II)</t>
  </si>
  <si>
    <t xml:space="preserve">    B 280 412 911  828 cm3/min(80.0 LBS/HR)</t>
  </si>
  <si>
    <t>(x.x bar)(XX.X PSI)BMotorsport(STYLE II)</t>
  </si>
  <si>
    <t xml:space="preserve">    B 280 412 911 1120 cm3/min(108.1 LBS/HR)</t>
  </si>
  <si>
    <t>(5.0 bar)(72.5 PSI)BMotorsport(STYLE II)</t>
  </si>
  <si>
    <t>Chrysler PN        Flowrate</t>
  </si>
  <si>
    <t xml:space="preserve">Dynamic  </t>
  </si>
  <si>
    <t>MPI 4306018</t>
  </si>
  <si>
    <t>331 cm3/min(32.0 LBS/HR)</t>
  </si>
  <si>
    <t xml:space="preserve"> (3.8 bar)(55.0 PSI)  2.2L Turbo II(STYLE II)(IC-054)</t>
  </si>
  <si>
    <t>MPI 4306024</t>
  </si>
  <si>
    <t>297 cm3/min(28.7 LBS/HR)(3.61 gm/sec) 6.98*  (3.8 bar)(55.1 PSI)? 2.2L Turbo I (STYLE II)(IC-009)</t>
  </si>
  <si>
    <t>280 cm3/min(27.0 LBS/HR)</t>
  </si>
  <si>
    <t xml:space="preserve"> (3.8 bar)(55.0 PSI)? 2.2L Turbo I (STYLE II)(IC-009)</t>
  </si>
  <si>
    <t>MPI 4418213</t>
  </si>
  <si>
    <t>362 cm3/min(34.9 LBS/HR)(4.40 gm/sec) 8.93*  (3.8 bar)(55.1 PSI)  2.5L(LOZ)(IC-224)</t>
  </si>
  <si>
    <t>MPI 4418255</t>
  </si>
  <si>
    <t>xxx cm3/min(XX.X LBS/HR)</t>
  </si>
  <si>
    <t xml:space="preserve"> (x.x bar)(XX.X PSI)  1987 TURBO I</t>
  </si>
  <si>
    <t>MPI 4418258</t>
  </si>
  <si>
    <t>362 cm3/min(34.9 LBS/HR)(4.40 gm/sec) 8.93*  (3.8 bar)(55.1 PSI)  2.5L Turbo(LOZ)(IC-224)</t>
  </si>
  <si>
    <t>MPI 4418474</t>
  </si>
  <si>
    <t xml:space="preserve">   </t>
  </si>
  <si>
    <t>MPI 4418475</t>
  </si>
  <si>
    <t>297 cm3/min(28.7 LBS/HR)(3.61 gm/sec) 6.98*  (3.8 bar)(55.1 PSI)  2.2L</t>
  </si>
  <si>
    <t>MPI 4504322</t>
  </si>
  <si>
    <t>362 cm3/min(34.9 LBS/HR)(4.40 gm/sec) 8.93*  (3.8 bar)(55.1 PSI)  2.2L(16V)/2.5L Turbo(LOZ)(IC-224)</t>
  </si>
  <si>
    <t>550 cm3/min(53.0 LBS/HR)(6.69 gm/sec) 13.4*  (3.8 bar)(55.1 PSI)  2.5L Plus</t>
  </si>
  <si>
    <t>MPI 5277895</t>
  </si>
  <si>
    <t xml:space="preserve">362 cm3/min(34.9 LBS/HR)(4.40 gm/sec) 8.93*  (3.8 bar)(55.1 PSI)  2.2L(16V)(L0Z)(IC-224) </t>
  </si>
  <si>
    <t>MPI 53030778</t>
  </si>
  <si>
    <t xml:space="preserve"> (x.x bar)(XX.X PSI)  DODGE Truck 5.2L/5.9L</t>
  </si>
  <si>
    <t>MPI 53041073</t>
  </si>
  <si>
    <t xml:space="preserve"> (x.x bar)(XX.X PSI)  DODGE Truck 8.0L</t>
  </si>
  <si>
    <t>MPI P4452803</t>
  </si>
  <si>
    <t>311 cm3/min(30.0 LBS/HR)</t>
  </si>
  <si>
    <t xml:space="preserve"> (3.8 bar)(55.0 PSI)  MOPAR Performance</t>
  </si>
  <si>
    <t>MPI P4452804</t>
  </si>
  <si>
    <t>373 cm3/min(36.0 LBS/HR)</t>
  </si>
  <si>
    <t>* @ 2.5 mSec/Pulse</t>
  </si>
  <si>
    <t>Ford PN          Flowrate                  Pressure</t>
  </si>
  <si>
    <t xml:space="preserve">   Ohms </t>
  </si>
  <si>
    <t>MPI  145 cm3/min(14.0 LBS/HR)(1.76 gm/sec) (x.x bar)(XX.X PSI) 2.25(Bosch)</t>
  </si>
  <si>
    <t>E3EE-9F593-BA  1983 1.6L(IC-001)(Blue)</t>
  </si>
  <si>
    <t>MPI  145 cm3/min(14.0 LBS/HR)(1.76 gm/sec) (x.x bar)(XX.X PSI) 2.35(Denso)</t>
  </si>
  <si>
    <t>E4EE-9F593-AA  1984 1.6L(Blue)</t>
  </si>
  <si>
    <t>MPI  145 cm3/min(14.0 LBS/HR)(1.76 gm/sec) (2.1 bar)(30.0 PSI) 16.2(Denso)</t>
  </si>
  <si>
    <t>E59E-9F593-AB  '85-'86 2.3L Truck/5.0L V8</t>
  </si>
  <si>
    <t>(IC-031)(Grey)</t>
  </si>
  <si>
    <t>MPI  145 cm3/min(14.0 LBS/HR)(1.76 gm/sec) (2.3 bar)(33.0 PSI) 14.5(Bosch)</t>
  </si>
  <si>
    <t>E67C-9F593-AB  1986 2.9L/3.0L(Grey)</t>
  </si>
  <si>
    <t>E67E-9F593-BB  1986 5.0L V8(IC-031)(Grey)</t>
  </si>
  <si>
    <t>MPI  145 cm3/min(14.0 LBS/HR)</t>
  </si>
  <si>
    <t xml:space="preserve">     (x.x bar)(XX.X PSI)</t>
  </si>
  <si>
    <t>F1ZE-9F593-B4C</t>
  </si>
  <si>
    <t>1.9L/3.8L V6(IC-076)(Grey)</t>
  </si>
  <si>
    <t>MPI  197 cm3/min(19.0 LBS/HR)</t>
  </si>
  <si>
    <t>FOTE-9F593-D1A 4.6L SOHC V8</t>
  </si>
  <si>
    <t xml:space="preserve">      (IC-045)(Yellow-Orange)</t>
  </si>
  <si>
    <t>Vout</t>
  </si>
  <si>
    <t>AFR</t>
  </si>
  <si>
    <t>Lambda</t>
  </si>
  <si>
    <t>Wide Band O2 output</t>
  </si>
  <si>
    <t>MPI  201 cm3/sec(19.4 LBS/HR)(2.45 gm/sec) (x.x bar)(40.0 PSI) 2.25(Bosch)</t>
  </si>
  <si>
    <t>E6EE-9F593-AB  '85-'86 1.9L(White)</t>
  </si>
  <si>
    <t>MPI  201 cm3/sec(19.4 LBS/HR)(2.45 gm/sec) (2.2 bar)(32.0 PSI) 16.2(Denso)</t>
  </si>
  <si>
    <t>E6TE-9F593-AB  1986 5.0L V8 HO(Gold)</t>
  </si>
  <si>
    <t>MPI  201 cm3/sec(19.4 LBS/HR)(2.45 gm/sec) (2.3 bar)(33.0 PSI) 16.2 (DKK)</t>
  </si>
  <si>
    <t>E5TE-9F593-AB  '85-'86 5.0L V8 Truck</t>
  </si>
  <si>
    <t>(IC-032/IC-075)(Gold)</t>
  </si>
  <si>
    <t>MPI  201 cm3/sec(19.4 LBS/HR)(2.45 gm/sec) (2.3 bar)(33.0 PSI) 14.5(Bosch)</t>
  </si>
  <si>
    <t>E5TE-9F593-BB  1986 5.0L V8 Truck</t>
  </si>
  <si>
    <t xml:space="preserve">(IC-032/IC-075)(Gold) </t>
  </si>
  <si>
    <t>MPI  247 cm3/min(23.8 LBS/HR)(3.00 gm/sec) (x.x bar)(XX.X PSI) 2.40(Bosch)</t>
  </si>
  <si>
    <t>E4EX-9F593-AA  '84-'85 1.6L Turbo(Black)</t>
  </si>
  <si>
    <t>MPI  249 cm3/min(24.0 LBS/HR)</t>
  </si>
  <si>
    <t xml:space="preserve">     (3.0 bar)(43.5 PSI)</t>
  </si>
  <si>
    <t>F1TZ-9F593-C</t>
  </si>
  <si>
    <t xml:space="preserve">   5.0L V8 Cobra(IC-080)</t>
  </si>
  <si>
    <t>F2LE-9F593-B2A  4.6L DOHC V8</t>
  </si>
  <si>
    <t>(IC-073)(Light Blue)</t>
  </si>
  <si>
    <t>MPI  262 cm3/min(25.3 LBS/HR)</t>
  </si>
  <si>
    <t>F3DE-9F593-A2B  3.0L V6 Flex Fuel(Blue-Green)</t>
  </si>
  <si>
    <t>MPI  317 cm3/min(30.6 LBS/HR)(3.86 gm/sec) (2.8 bar)(~ 40 PSI) 2.40(Bosch)</t>
  </si>
  <si>
    <t>E3ZE-9F593-BA   1983 2.3L Turbo</t>
  </si>
  <si>
    <t>(IC-027)(Green)</t>
  </si>
  <si>
    <t>MPI  311 cm3/min(30.0 LBS/HR)</t>
  </si>
  <si>
    <t xml:space="preserve">     (2.5 bar)(36.3 PSI)</t>
  </si>
  <si>
    <t>F1SE-9F593-E1A  3.8L V6 S/C</t>
  </si>
  <si>
    <t>(IC-079/IC-083)(Red)</t>
  </si>
  <si>
    <t>MPI  317 cm3/min(30.6 LBS/HR)(3.86 gm/sec) (2.8 bar)(~ 40 PSI) 2.35 (DKK)</t>
  </si>
  <si>
    <t>E4ZE-9F593-AA   1984 2.3L Turbo(Green)</t>
  </si>
  <si>
    <t>MPI  362 cm3/min(35.0 LBS/HR)(4.41 gm/sec) (2.8 bar)(~ 40 PSI) 2.35 (DKK)</t>
  </si>
  <si>
    <t>BSFC</t>
  </si>
  <si>
    <t>lb/(hp*h)</t>
  </si>
  <si>
    <t>Power Capability</t>
  </si>
  <si>
    <t>hp</t>
  </si>
  <si>
    <t>Injectors</t>
  </si>
  <si>
    <t>Duty Cycle</t>
  </si>
  <si>
    <t>Power @ Duty Cycle</t>
  </si>
  <si>
    <t>kW</t>
  </si>
  <si>
    <t>kM/H</t>
  </si>
  <si>
    <t>Specific Fuel Consumption</t>
  </si>
  <si>
    <t>lb/hp*h</t>
  </si>
  <si>
    <t>g/kW*h</t>
  </si>
  <si>
    <t>Grams/min</t>
  </si>
  <si>
    <t>Pounds/Hour</t>
  </si>
  <si>
    <t>0 280 155 960</t>
  </si>
  <si>
    <t>Aston Martin</t>
  </si>
  <si>
    <t>rated at 40psi</t>
  </si>
  <si>
    <t>BSFC Estimate</t>
  </si>
  <si>
    <t>Compression Ratio</t>
  </si>
  <si>
    <t>E5ZE-9F593-AB   '85-'86 2.3L Turbo(Gold)</t>
  </si>
  <si>
    <t>CFI  373 cm3/min(36.0 LBS/HR)(4.54 gm/sec) (2.8 bar)(40.0 PSI) 2.25(Bosch)</t>
  </si>
  <si>
    <t>E3VE-9F593-A1A  '84-'86 3.8L V6(Green)</t>
  </si>
  <si>
    <t>CFI  373 cm3/min(36.0 LBS/HR)(4.54 gm/sec) (2.8 bar)(40.0 PSI) 2.00(Denso)</t>
  </si>
  <si>
    <t>E3VE-9F593-A2A  '84-'86 3.8L V6(Green)</t>
  </si>
  <si>
    <t>CFI  477 cm3/min(46.1 LBS/HR)(5.81 gm/sec) (2.3 bar)(33.0 PSI) 2.40(Bosch)</t>
  </si>
  <si>
    <t>EOSE-9F593-A1A  '80-'83 5.0L V8(IC-002)(Blue)</t>
  </si>
  <si>
    <t>CFI  477 cm3/min(46.1 LBS/HR)(5.81 gm/sec) (2.3 bar)(33.0 PSI) 2.00(Denso)</t>
  </si>
  <si>
    <t>EOSE-9F593-A2A  '83-'84 5.0L V8(IC-002)(Blue)</t>
  </si>
  <si>
    <t>CFI  477 cm3/min(46.1 LBS/HR)(5.81 gm/sec) (2.3 bar)(33.0 PSI) 2.25(Bosch)</t>
  </si>
  <si>
    <t>EOSE-9F593-A1A  1984 5.0L V8(IC-002)(Blue)</t>
  </si>
  <si>
    <t>CFI  542 cm3/min(52.4 LBS/HR)(6.60 gm/sec) (2.2 bar)(32.0 PSI) 2.25(Bosch)</t>
  </si>
  <si>
    <t>E4ZE-9F593-CA   '84-'85 5.0L HO V8</t>
  </si>
  <si>
    <t>(IC-214)(Grey)</t>
  </si>
  <si>
    <t>TBI  575 cm3/min(55.6 LBS/HR)(7.00 gm/sec) (1.1 bar)(16.0 PSI) 1.40(Bosch)</t>
  </si>
  <si>
    <t>E43E-9F593-AC   '85-'86 2.3L HSC(IC-004)(Blue)</t>
  </si>
  <si>
    <t>TBI  658 cm3/min(63.5 LBS/HR)(8.00 gm/sec) (1.1 bar)(16.0 PSI) 1.40(Bosch)</t>
  </si>
  <si>
    <t>E53E-9F593-AB   '85-'86 2.3L HO HSC/2.5L HSC</t>
  </si>
  <si>
    <t>(IC-000)(Green)</t>
  </si>
  <si>
    <t>MPI  249 cm3/min(24.0 LBS/HR)(3.02 gm/sec) (x.x bar)(XX.X PSI)(HIZ)(  ?  )</t>
  </si>
  <si>
    <t>M-9593-A</t>
  </si>
  <si>
    <t>Ford Motorsport</t>
  </si>
  <si>
    <t>MPI  311 cm3/min(30.0 LBS/HR)(3.78 gm/sec) (x.x bar)(XX.X PSI)(HIZ)(  ?  )</t>
  </si>
  <si>
    <t>M-9593-B</t>
  </si>
  <si>
    <t>MPI  197 cm3/min(19.0 LBS/HR)(2.39 gm/sec) (x.x bar)(XX.X PSI)(HIZ)(  ?  )</t>
  </si>
  <si>
    <t>M-9593-C</t>
  </si>
  <si>
    <t>MPI  373 cm3/min(36.0 LBS/HR)(4.54 gm/sec) (x.x bar)(XX.X PSI)(HIZ)(  ?  )</t>
  </si>
  <si>
    <t>M-9593-D</t>
  </si>
  <si>
    <t>Isuzu PN</t>
  </si>
  <si>
    <t xml:space="preserve">     Flowrate                  Application</t>
  </si>
  <si>
    <t>8-94113-262-2   152 cm3/min(14.7 LBS/HR)</t>
  </si>
  <si>
    <t>(2.45 bar)(35.6 PSI)* '85-'871/2 Impulse 1.95L(IC-534)</t>
  </si>
  <si>
    <t>8-94113-262-2   184 cm3/min(17.8 LBS/HR)</t>
  </si>
  <si>
    <t>(2.96 bar)(43.0 PSI)  '85-'871/2 Impulse 1.95L(IC-534)</t>
  </si>
  <si>
    <t>8-94147-610-1   242 cm3/min(23.4 LBS/HR)</t>
  </si>
  <si>
    <t>(2.94 bar)(42.6 PSI)* '85-'871/2 Impulse 1.95L Turbo(IC-537)</t>
  </si>
  <si>
    <t>8-94147-610-1   244 cm3/min(23.6 LBS/HR)</t>
  </si>
  <si>
    <t>(2.96 bar)(43.0 PSI)  '85-'871/2 Impulse 1.95L Turbo(IC-537)</t>
  </si>
  <si>
    <t>* Factory Rail Pressure</t>
  </si>
  <si>
    <t>Lucas PN         Flowrate                  Application</t>
  </si>
  <si>
    <t xml:space="preserve">  539 cm3/min(52.0 LBS/HR)</t>
  </si>
  <si>
    <t>(3.1 bar)(45.0 PSI)(LOZ)</t>
  </si>
  <si>
    <t xml:space="preserve">  188 cm3/min(18.2 LBS/HR)</t>
  </si>
  <si>
    <t>(2.5 bar)(36.3 PSI)PORSCHE 914 1.8L(STYLE V)</t>
  </si>
  <si>
    <t>(2.5 bar)(36.3 PSI)FIAT(STYLE V)</t>
  </si>
  <si>
    <t>(2.5 bar)(36.3 PSI)TOYOTA(STYLE III)?</t>
  </si>
  <si>
    <t xml:space="preserve">  147 cm3/min(14.2 LBS/HR)</t>
  </si>
  <si>
    <t>(3.0 bar)(43.5 PSI)Starlet(STYLE III)</t>
  </si>
  <si>
    <t xml:space="preserve">  260 cm3/min(25.1 LBS/HR)</t>
  </si>
  <si>
    <t>(2.5 bar)(36.3 PSI)300ZX(STYLE V)</t>
  </si>
  <si>
    <t>(2.5 bar)(36.3 PSI)CHEV 5.0L(STYLE II)</t>
  </si>
  <si>
    <t xml:space="preserve">  164 cm3/min(15.8 LBS/HR)</t>
  </si>
  <si>
    <t>(3.0 bar)(43.5 PSI)Buick 3.0L(STYLE II)(IC-016)</t>
  </si>
  <si>
    <t xml:space="preserve">  503 cm3/min(48.6 LBS/HR)</t>
  </si>
  <si>
    <t>(2.7 bar)(39.2 PSI)Aftermarket(STYLE V)</t>
  </si>
  <si>
    <t xml:space="preserve">  323 cm3/min(31.2 LBS/HR)</t>
  </si>
  <si>
    <t>(2.7 bar)(39.2 PSI)FORD 2.3L Turbo(STYLE II)</t>
  </si>
  <si>
    <t xml:space="preserve">(2.5 bar)(36.3 PSI)FORD 1.6L(STYLE II) </t>
  </si>
  <si>
    <t xml:space="preserve">  368 cm3/min(35.5 LBS/HR)</t>
  </si>
  <si>
    <t xml:space="preserve">  299 cm3/min(28.9 LBS/HR)</t>
  </si>
  <si>
    <t>(2.5 bar)(36.3 PSI)?(Green Band)(STYLE II)(HIZ)</t>
  </si>
  <si>
    <t xml:space="preserve">  311 cm3/min(30.0 LBS/HR)</t>
  </si>
  <si>
    <t>(3.1 bar)(45.0 PSI)?(Green Band)(STYLE II)(HIZ)</t>
  </si>
  <si>
    <t xml:space="preserve">  218 cm3/min(21.1 LBS/HR)</t>
  </si>
  <si>
    <t>(3.0 bar)(43.5 PSI)CHEV 5.7L V8(STYLE II)</t>
  </si>
  <si>
    <t xml:space="preserve">  201 cm3/min(19.4 LBS/HR)</t>
  </si>
  <si>
    <t>(2.7 bar)(39.2 PSI)JEEP 4.0L(6 CYL)(STYLE II)</t>
  </si>
  <si>
    <t xml:space="preserve">  379 cm3/min(36.6 LBS/HR)</t>
  </si>
  <si>
    <t>(2.7 bar)(39.2 PSI)Aftermarket(STYLE II)</t>
  </si>
  <si>
    <t xml:space="preserve">  540 cm3/min(52.1 LBS/HR)</t>
  </si>
  <si>
    <t>(2.5 bar)(36.3 PSI)DATSUN 280ZX(STYLE V)</t>
  </si>
  <si>
    <t>(2.5 bar)(36.3 PSI)ALFA(STYLE V)</t>
  </si>
  <si>
    <t xml:space="preserve">  237 cm3/min(22.9 LBS/HR)</t>
  </si>
  <si>
    <t>(2.5 bar)(36.3 PSI)FORD 1.6L(STYLE II)</t>
  </si>
  <si>
    <t>(2.5 bar)(36.3 PSI)CHRYSLER/BMW(STYLE V)</t>
  </si>
  <si>
    <t>(2.5 bar)(36.3 PSI)RENAULT(STYLE II)(HIZ)</t>
  </si>
  <si>
    <t>(2.5 bar)(36.3 PSI)BMW 325E(STYLE II)</t>
  </si>
  <si>
    <t xml:space="preserve">  415 cm3/min(40.1 LBS/HR)</t>
  </si>
  <si>
    <t>(3.1 bar)(45.0 PSI)(Red Stripe)(STYLE II)(HIZ)</t>
  </si>
  <si>
    <t>Volts</t>
  </si>
  <si>
    <t xml:space="preserve">  440 cm3/min(42.5 LBS/HR)</t>
  </si>
  <si>
    <t>(3.1 bar)(45.0 PSI)(Green Band)(HIZ)</t>
  </si>
  <si>
    <t xml:space="preserve">  422 cm3/min(40.7 LBS/HR)</t>
  </si>
  <si>
    <t>5720A520</t>
  </si>
  <si>
    <t xml:space="preserve">  185 cm3/min(17.9 LBS/HR)</t>
  </si>
  <si>
    <t>(2.5 bar)(36.3 PSI)'85-'88 Camaro 5.0L V8(IC-162)</t>
  </si>
  <si>
    <t>5720D570</t>
  </si>
  <si>
    <t>(2.5 bar)(36.3 PSI)'85-'86 Camaro 5.0L V8</t>
  </si>
  <si>
    <t>5720D780</t>
  </si>
  <si>
    <t>5720D810</t>
  </si>
  <si>
    <t xml:space="preserve">  215 cm3/min(20.7 LBS/HR)</t>
  </si>
  <si>
    <t>(3.0 bar)(43.5 PSI)'85-'88 Vette 5.7L V8</t>
  </si>
  <si>
    <t>62-1005</t>
  </si>
  <si>
    <t>62-1006</t>
  </si>
  <si>
    <t>62-1018</t>
  </si>
  <si>
    <t>62-1024</t>
  </si>
  <si>
    <t>62-1026</t>
  </si>
  <si>
    <t>62-1027</t>
  </si>
  <si>
    <t>62-1028</t>
  </si>
  <si>
    <t>62-1029</t>
  </si>
  <si>
    <t>62-1030</t>
  </si>
  <si>
    <t xml:space="preserve">  435 cm3/min(42.0 LBS/HR)</t>
  </si>
  <si>
    <t>62-3001</t>
  </si>
  <si>
    <t>62-3002</t>
  </si>
  <si>
    <t>62-3004</t>
  </si>
  <si>
    <t>62-3005</t>
  </si>
  <si>
    <t>62-3007</t>
  </si>
  <si>
    <t>62-3009</t>
  </si>
  <si>
    <t>62-3012</t>
  </si>
  <si>
    <t>D1790DA</t>
  </si>
  <si>
    <t>cu-in</t>
  </si>
  <si>
    <t>VE</t>
  </si>
  <si>
    <t>(x.x bar)(XX.X PSI)'85-88 Camaro 5.7L V8(IC-163)</t>
  </si>
  <si>
    <t xml:space="preserve">Lotus PN        Flowrate                  </t>
  </si>
  <si>
    <t>x xxx xxx xxx   365 cm3/min(35.2 LBS/HR)</t>
  </si>
  <si>
    <t>(3.79 bar)(55.0 PSI)* 1991 Elan 1.6L Turbo</t>
  </si>
  <si>
    <t>x xxx xxx xxx   322 cm3/min(31.1 LBS/HR)</t>
  </si>
  <si>
    <t>(2.96 bar)(43.0 PSI)  1991 Elan 1.6L Turbo</t>
  </si>
  <si>
    <t>Mitsubishi PN</t>
  </si>
  <si>
    <t xml:space="preserve">Flowrate                  </t>
  </si>
  <si>
    <t>MD608869</t>
  </si>
  <si>
    <t>550 cm3/min(53.1 LBS/HR)</t>
  </si>
  <si>
    <t>(x.x bar)(XX.X PSI)MAZDA RX-7(- 5/83)</t>
  </si>
  <si>
    <t>MD608909</t>
  </si>
  <si>
    <t>(x.x bar)(XX.X PSI)MAZDA RX-7(6/83 - 1/85)</t>
  </si>
  <si>
    <t>MD614004</t>
  </si>
  <si>
    <t>(x.x bar)(XX.X PSI)MAZDA RX-7(2/85 - 1/86)</t>
  </si>
  <si>
    <t>MD614036</t>
  </si>
  <si>
    <t>980 cm3/min(94.6 LBS/HR)</t>
  </si>
  <si>
    <t>(x.x bar)(XX.X PSI)MAZDA RX-7(6/86 - 89)(Secondary)</t>
  </si>
  <si>
    <t>MD614102</t>
  </si>
  <si>
    <t>580 cm3/min(56.0 LBS/HR)</t>
  </si>
  <si>
    <t>(x.x bar)(XX.X PSI)MAZDA RX-7(6/86 - 89)(Primary)</t>
  </si>
  <si>
    <t>MD614114</t>
  </si>
  <si>
    <t>(x.x bar)(XX.X PSI)MAZDA RX-7(2/86 - 5/86)</t>
  </si>
  <si>
    <t>MSD PN</t>
  </si>
  <si>
    <t>Flowrate</t>
  </si>
  <si>
    <t>269 cm3/min(26.0 LBS/HR)</t>
  </si>
  <si>
    <t>(x.x bar)(XX.X PSI)(2 Ohms)(2.0 Amp/0.5 Amp Peak &amp; Hold Driver Req'd)</t>
  </si>
  <si>
    <t>352 cm3/min(34.0 LBS/HR)</t>
  </si>
  <si>
    <t>(3.0 bar)(43.5 PSI)(2 Ohms)(2.0 Amp/0.5 Amp Peak &amp; Hold Driver Req'd)</t>
  </si>
  <si>
    <t>518 cm3/min(50.0 LBS/HR)</t>
  </si>
  <si>
    <t>(3.0 bar)(43.5 PSI)(12 Ohm)</t>
  </si>
  <si>
    <t>746 cm3/min(72.0 LBS/HR)</t>
  </si>
  <si>
    <t>(3.0 bar)(43.5 PSI)(2 Ohms)(4.0 Amp/1.0 Amp Peak &amp; Hold Driver Req'd)</t>
  </si>
  <si>
    <t>994 cm3/min(96.0 LBS/HR)</t>
  </si>
  <si>
    <t>197 cm3/min(19.0 LBS/HR)</t>
  </si>
  <si>
    <t>(2.5 bar)(36.3 PSI)(12 Ohm)</t>
  </si>
  <si>
    <t>228 cm3/min(22.0 LBS/HR)</t>
  </si>
  <si>
    <t>394 cm3/min(38.0 LBS/HR)</t>
  </si>
  <si>
    <t>Mazda PN</t>
  </si>
  <si>
    <t xml:space="preserve">     Flowrate</t>
  </si>
  <si>
    <t>N304132500</t>
  </si>
  <si>
    <t>720 cm3/min(69.5 LBS/HR)</t>
  </si>
  <si>
    <t>(2.0 bar)(29.0 PSI)'84-'85 RX-7 GSL-SE(2 Ohm)</t>
  </si>
  <si>
    <t xml:space="preserve">     1008 cm3/min(97.3 LBS/HR)</t>
  </si>
  <si>
    <t>(5.0 bar)(72.5 PSI)'84-'85 RX-7 GSL-SE(2 Ohm)</t>
  </si>
  <si>
    <t>N326132500</t>
  </si>
  <si>
    <t>680 cm3/min(65.7 LBS/HR)</t>
  </si>
  <si>
    <t>(x.x bar)(XX.X PSI)'86-'871/2 RX-7(2 Ohm)(IC-576)(LAVENDER)</t>
  </si>
  <si>
    <t>N318132500</t>
  </si>
  <si>
    <t>(x.x bar)(XX.X PSI)'86-'871/2 RX-7 Turbo(2 Ohm)(IC-584)</t>
  </si>
  <si>
    <t>N327132500</t>
  </si>
  <si>
    <t>(x.x bar)(XX.X PSI)'871/2-'88 RX-7(12 Ohm)(IC-561)(MAROON)</t>
  </si>
  <si>
    <t>N319132500</t>
  </si>
  <si>
    <t xml:space="preserve">(x.x bar)(XX.X PSI)'871/2-'88 RX-7 Turbo(12 Ohm)(IC-568) </t>
  </si>
  <si>
    <t>N350132500</t>
  </si>
  <si>
    <t>(x.x bar)(XX.X PSI)'89-'92 RX-7(IC-612)</t>
  </si>
  <si>
    <t>N370132500</t>
  </si>
  <si>
    <t>(x.x bar)(XX.X PSI)'89-'92 RX-7 Turbo(IC-611)</t>
  </si>
  <si>
    <t>N3A1132500</t>
  </si>
  <si>
    <t>560 cm3/min(54.1 LBS/HR)</t>
  </si>
  <si>
    <t>(3.0 bar)(43.0 PSI)'93-'95 RX-7 Twin Turbo(Primary)</t>
  </si>
  <si>
    <t>N3A2132500</t>
  </si>
  <si>
    <t>870 cm3/min(84.0 LBS/HR)</t>
  </si>
  <si>
    <t>(3.0 bar)(43.0 PSI)'93-'95 RX-7 Twin Turbo(Secondary)</t>
  </si>
  <si>
    <t>B6S7133250</t>
  </si>
  <si>
    <t>205 cm3/min(19.8 LBS/HR)</t>
  </si>
  <si>
    <t>(3.4 bar)(50.0 PSI)Miata 1.6L</t>
  </si>
  <si>
    <t>**********</t>
  </si>
  <si>
    <t>230 cm3/min(22.2 LBS/HR)</t>
  </si>
  <si>
    <t>(3.4 bar)(50.0 PSI)Miata 1.8L</t>
  </si>
  <si>
    <t>Nissan PN        Flowrate                  Application</t>
  </si>
  <si>
    <t>16603 - *****   185 cm3/min(17.9 LBS/HR)</t>
  </si>
  <si>
    <t>(x.x bar)(XX.X PSI)   1979-83 280ZX(L28E)(IC-519)</t>
  </si>
  <si>
    <t>16603 - P9000   259 cm3/min(25.0 LBS/HR)</t>
  </si>
  <si>
    <t>(x.x bar)(XX.X PSI)   1981-83 280ZX Turbo(L28E)(IC-536)</t>
  </si>
  <si>
    <t>16603 - P9010   259 cm3/min(25.0 LBS/HR)</t>
  </si>
  <si>
    <t>16603 - 02P00   259 cm3/min(25.0 LBS/HR)</t>
  </si>
  <si>
    <t>(x.x bar)(XX.X PSI)   1984-85 300ZX Turbo(VG30T)(IC-536)</t>
  </si>
  <si>
    <t>16603 - 02P10   259 cm3/min(25.0 LBS/HR)</t>
  </si>
  <si>
    <t>16600 - 40P07   330 cm3/min(31.9 LBS/HR)</t>
  </si>
  <si>
    <t>(x.x bar)(XX.X PSI)   1994-96 300ZX Twin Turbo(VG30DTT/VG30DETT)(IC-660)</t>
  </si>
  <si>
    <t>16600 - 40P08   330 cm3/min(31.9 LBS/HR)</t>
  </si>
  <si>
    <t>(x.x bar)(XX.X PSI)   1994-96 300ZX Twin Turbo(VG30DTT/VG30DETT)(IC-661)</t>
  </si>
  <si>
    <t>16600 - 53J00   225 cm3/min(21.7 LBS/HR)</t>
  </si>
  <si>
    <t>(x.x bar)(XX.X PSI)   1991-94 Sentra SE-R(SR20DE)(IC-663)</t>
  </si>
  <si>
    <t>Rochester PN     Flowrate                  Application</t>
  </si>
  <si>
    <t xml:space="preserve">TBI 5233760  xxx cm3/min(XX.X LBS/HR) </t>
  </si>
  <si>
    <t xml:space="preserve"> (x.x bar)(XX.X PSI)</t>
  </si>
  <si>
    <t xml:space="preserve">    5233765  xxx cm3/min(XX.X LBS/HR) </t>
  </si>
  <si>
    <t xml:space="preserve">    5233770  xxx cm3/min(XX.X LBS/HR) </t>
  </si>
  <si>
    <t xml:space="preserve">    5233775  xxx cm3/min(XX.X LBS/HR) </t>
  </si>
  <si>
    <t xml:space="preserve">TBI 5233785  xxx cm3/min(XX.X LBS/HR) </t>
  </si>
  <si>
    <t xml:space="preserve"> (x.x bar)(XX.X PSI)CHEV 2.0L/1993 CHEV Truck 2.5L(1.26 Ohms)(IC-200)</t>
  </si>
  <si>
    <t xml:space="preserve">TBI 5234085  xxx cm3/min(XX.X LBS/HR) </t>
  </si>
  <si>
    <t xml:space="preserve">TBI 5234105  xxx cm3/min(XX.X LBS/HR) </t>
  </si>
  <si>
    <t xml:space="preserve">TBI 5234210  xxx cm3/min(XX.X LBS/HR) </t>
  </si>
  <si>
    <t xml:space="preserve">    5234255  xxx cm3/min(XX.X LBS/HR) </t>
  </si>
  <si>
    <t xml:space="preserve">    5234313  xxx cm3/min(XX.X LBS/HR) </t>
  </si>
  <si>
    <t>Crank HP</t>
  </si>
  <si>
    <t>Drive eff</t>
  </si>
  <si>
    <t>Wheel HP</t>
  </si>
  <si>
    <t xml:space="preserve">TBI 5234395  xxx cm3/min(XX.X LBS/HR) </t>
  </si>
  <si>
    <t xml:space="preserve"> (x.x bar)(XX.X PSI)CHEV 2.0L/2.5L(IC-200)</t>
  </si>
  <si>
    <t xml:space="preserve">MPI 5235008  xxx cm3/min(XX.X LBS/HR) </t>
  </si>
  <si>
    <t xml:space="preserve"> (x.x bar)(XX.X PSI)BUICK 3.3L V-6(STYLE VI)(IC-037)</t>
  </si>
  <si>
    <t xml:space="preserve">    5235041  xxx cm3/min(XX.X LBS/HR) </t>
  </si>
  <si>
    <t xml:space="preserve">MPI 5235047  xxx cm3/min(XX.X LBS/HR) </t>
  </si>
  <si>
    <t>(psi)</t>
  </si>
  <si>
    <t>(gal/hr)</t>
  </si>
  <si>
    <t>(amps)</t>
  </si>
  <si>
    <t>190lph fuel pump</t>
  </si>
  <si>
    <t>255lph std fuel pump</t>
  </si>
  <si>
    <t>255lph high pressure pump</t>
  </si>
  <si>
    <t>Liters/hr</t>
  </si>
  <si>
    <t>http://www.autoperformanceengineering.com/html/fuelpump.html</t>
  </si>
  <si>
    <t xml:space="preserve"> (x.x bar)(XX.X PSI)1985 Camaro 5.0L V8(STYLE II)(IC-010)</t>
  </si>
  <si>
    <t xml:space="preserve">TBI 5235048  xxx cm3/min(XX.X LBS/HR) </t>
  </si>
  <si>
    <t xml:space="preserve">TBI 5235130  xxx cm3/min(XX.X LBS/HR) </t>
  </si>
  <si>
    <t xml:space="preserve"> (x.x bar)(XX.X PSI)1993 CHEV Truck 3.1L V6(1.26 Ohms)</t>
  </si>
  <si>
    <t xml:space="preserve">MPI 5235131  xxx cm3/min(XX.X LBS/HR) </t>
  </si>
  <si>
    <t xml:space="preserve">TBI 5235132  xxx cm3/min(XX.X LBS/HR) </t>
  </si>
  <si>
    <t xml:space="preserve">MPI 5235133  xxx cm3/min(XX.X LBS/HR) </t>
  </si>
  <si>
    <t xml:space="preserve">    5235134  xxx cm3/min(XX.X LBS/HR) </t>
  </si>
  <si>
    <t xml:space="preserve">MPI 5235136  xxx cm3/min(XX.X LBS/HR) </t>
  </si>
  <si>
    <t>Crank Speed</t>
  </si>
  <si>
    <t>Drive ratio</t>
  </si>
  <si>
    <t>Blower speed</t>
  </si>
  <si>
    <t>Inlet flow (theoretical)</t>
  </si>
  <si>
    <t>Actual Inlet Flow</t>
  </si>
  <si>
    <t>%</t>
  </si>
  <si>
    <t>Crank pulley</t>
  </si>
  <si>
    <t>in</t>
  </si>
  <si>
    <t>Blower pulley</t>
  </si>
  <si>
    <t>Eng Size</t>
  </si>
  <si>
    <t>Base flow</t>
  </si>
  <si>
    <t>Pres Ratio</t>
  </si>
  <si>
    <t>Boost</t>
  </si>
  <si>
    <t>PSI</t>
  </si>
  <si>
    <t>cu-in/rev</t>
  </si>
  <si>
    <t xml:space="preserve"> (x.x bar)(XX.X PSI)CHEV 2.8L/3.1L V6/BUICK 3.3L V6(STYLE VI)(IC-037)</t>
  </si>
  <si>
    <t xml:space="preserve">TBI 5235198  xxx cm3/min(XX.X LBS/HR) </t>
  </si>
  <si>
    <t xml:space="preserve">TBI 5235203  xxx cm3/min(XX.X LBS/HR) </t>
  </si>
  <si>
    <t xml:space="preserve"> (x.x bar)(XX.X PSI)1993 CHEV Truck 4.3L V6(1.26 Ohms)</t>
  </si>
  <si>
    <t xml:space="preserve">TBI 5235204  xxx cm3/min(XX.X LBS/HR) </t>
  </si>
  <si>
    <t xml:space="preserve">TBI 5235205  xxx cm3/min(XX.X LBS/HR) </t>
  </si>
  <si>
    <t xml:space="preserve">TBI 5235206  xxx cm3/min(XX.X LBS/HR) </t>
  </si>
  <si>
    <t xml:space="preserve"> (x.x bar)(XX.X PSI)1993 CHEV Truck 5.7L V8(1.26 Ohms)</t>
  </si>
  <si>
    <t xml:space="preserve">MPI 5235210  xxx cm3/min(XX.X LBS/HR) </t>
  </si>
  <si>
    <t xml:space="preserve"> (x.x bar)(XX.X PSI)CHEV 2.8L V6(STYLE VI)(IC-026)</t>
  </si>
  <si>
    <t xml:space="preserve">MPI 5235211  xxx cm3/min(XX.X LBS/HR) </t>
  </si>
  <si>
    <t xml:space="preserve"> (x.x bar)(XX.X PSI)1986 Corvette 5.7L V8(IC-219)</t>
  </si>
  <si>
    <t xml:space="preserve">    5235231  xxx cm3/min(XX.X LBS/HR) </t>
  </si>
  <si>
    <t xml:space="preserve">MPI 5235236  xxx cm3/min(XX.X LBS/HR) </t>
  </si>
  <si>
    <t xml:space="preserve"> (x.x bar)(XX.X PSI)1989 OLDS 2.3L DOHC</t>
  </si>
  <si>
    <t xml:space="preserve">    5235237  xxx cm3/min(XX.X LBS/HR) </t>
  </si>
  <si>
    <t xml:space="preserve">    5235242  xxx cm3/min(XX.X LBS/HR) </t>
  </si>
  <si>
    <t xml:space="preserve">MPI 5235260  xxx cm3/min(XX.X LBS/HR) </t>
  </si>
  <si>
    <t>MPI 5235261  xxx cm3/min(XX.X LBS/HR)</t>
  </si>
  <si>
    <t xml:space="preserve"> (x.x bar)(XX.X PSI)CADILLAC 4.1L V8(STYLE II)(IC-035) </t>
  </si>
  <si>
    <t xml:space="preserve">    5235262  xxx cm3/min(XX.X LBS/HR) </t>
  </si>
  <si>
    <t xml:space="preserve">    5235263  xxx cm3/min(XX.X LBS/HR) </t>
  </si>
  <si>
    <t xml:space="preserve">    5235264  xxx cm3/min(XX.X LBS/HR) </t>
  </si>
  <si>
    <t xml:space="preserve">    5235266  xxx cm3/min(XX.X LBS/HR) </t>
  </si>
  <si>
    <t xml:space="preserve">TBI 5235267  xxx cm3/min(XX.X LBS/HR) </t>
  </si>
  <si>
    <t xml:space="preserve">    5235268  xxx cm3/min(XX.X LBS/HR) </t>
  </si>
  <si>
    <t xml:space="preserve">    5235269  xxx cm3/min(XX.X LBS/HR) </t>
  </si>
  <si>
    <t xml:space="preserve">    5235270  xxx cm3/min(XX.X LBS/HR) </t>
  </si>
  <si>
    <t xml:space="preserve">    5235271  xxx cm3/min(XX.X LBS/HR) </t>
  </si>
  <si>
    <t xml:space="preserve">    5235272  xxx cm3/min(XX.X LBS/HR) </t>
  </si>
  <si>
    <t xml:space="preserve">    5235273  xxx cm3/min(XX.X LBS/HR) </t>
  </si>
  <si>
    <t xml:space="preserve">MPI 5235274  xxx cm3/min(XX.X LBS/HR) </t>
  </si>
  <si>
    <t xml:space="preserve"> (x.x bar)(XX.X PSI)CADILLAC 4.5L V8/GEO/ISUZU(STYLE VI)(IC-046)</t>
  </si>
  <si>
    <t xml:space="preserve">TBI 5235277  xxx cm3/min(XX.X LBS/HR) </t>
  </si>
  <si>
    <t xml:space="preserve">TBI 5235278  xxx cm3/min(XX.X LBS/HR) </t>
  </si>
  <si>
    <t xml:space="preserve">TBI 5235279  xxx cm3/min(XX.X LBS/HR) </t>
  </si>
  <si>
    <t xml:space="preserve"> (x.x bar)(XX.X PSI)1993 </t>
  </si>
  <si>
    <t xml:space="preserve">CHEV Truck 5.0L V8(1.26 Ohms) </t>
  </si>
  <si>
    <t xml:space="preserve">TBI 5235284  xxx cm3/min(XX.X LBS/HR) </t>
  </si>
  <si>
    <t>Over XXpsi base -&gt;</t>
  </si>
  <si>
    <t xml:space="preserve"> (x.x bar)(XX.X PSI)1992 CHEV 2.5L(1.52 Ohms)</t>
  </si>
  <si>
    <t xml:space="preserve">    5235294  xxx cm3/min(XX.X LBS/HR) </t>
  </si>
  <si>
    <t xml:space="preserve">MPI 5235301  215 cm3/min(20.7 LBS/HR) </t>
  </si>
  <si>
    <t xml:space="preserve"> (x.x bar)(XX.X PSI)'87-'88 CHEV 5.0L V8(STYLE II)(IC-010)</t>
  </si>
  <si>
    <t xml:space="preserve">MPI 5235302  215 cm3/min(20.7 LBS/HR) </t>
  </si>
  <si>
    <t xml:space="preserve"> (x.x bar)(XX.X PSI)'87-'88 CHEV 5.7L V8(IC-217)</t>
  </si>
  <si>
    <t xml:space="preserve">    5235305  xxx cm3/min(XX.X LBS/HR) </t>
  </si>
  <si>
    <t xml:space="preserve">    5235306  xxx cm3/min(XX.X LBS/HR) </t>
  </si>
  <si>
    <t xml:space="preserve">    5235307  xxx cm3/min(XX.X LBS/HR) </t>
  </si>
  <si>
    <t xml:space="preserve">    5235342  xxx cm3/min(XX.X LBS/HR) </t>
  </si>
  <si>
    <t>MPI 5235348  xxx cm3/min(XX.X LBS/HR)</t>
  </si>
  <si>
    <t xml:space="preserve"> (x.x bar)(XX.X PSI)BUICK 3.0L V6(IC-218)</t>
  </si>
  <si>
    <t xml:space="preserve">MPI 5235357  228 cm3/min(22.0 LBS/HR) </t>
  </si>
  <si>
    <t xml:space="preserve"> (3.0 bar)(43.5 PSI)'90-'92 CHEV 5.7L DOHC V8(LT-5)(12.4 Ohms)(STYLE VI)(IC-048)</t>
  </si>
  <si>
    <t xml:space="preserve">    5235360  xxx cm3/min(XX.X LBS/HR) </t>
  </si>
  <si>
    <t xml:space="preserve">MPI 5235366  228 cm3/min(22.0 LBS/HR) </t>
  </si>
  <si>
    <t xml:space="preserve"> (3.0 bar)(43.5 PSI)'90-'92 CHEV 5.7L DOHC V8(LT-5)(12.4 Ohms)(STYLE VI)(IC-036)</t>
  </si>
  <si>
    <t xml:space="preserve">MPI 5235367  xxx cm3/min(XX.X LBS/HR) </t>
  </si>
  <si>
    <t xml:space="preserve"> (x.x bar)(XX.X PSI)BUICK 3.3L V6(STYLE VI)(IC-037) </t>
  </si>
  <si>
    <t xml:space="preserve">TBI 5235401  xxx cm3/min(XX.X LBS/HR) </t>
  </si>
  <si>
    <t xml:space="preserve"> (x.x bar)(XX.X PSI)1993 CHEV Truck 6.0L V8/7.0L V8(1.52 Ohms)</t>
  </si>
  <si>
    <t xml:space="preserve">MPI 5235434  215 cm3/min(20.7 LBS/HR) </t>
  </si>
  <si>
    <t xml:space="preserve"> (x.x bar)(XX.X PSI)'89-'92 Camaro 5.0L V8(IC-784)</t>
  </si>
  <si>
    <t xml:space="preserve">MPI 5235435  215 cm3/min(20.7 LBS/HR) </t>
  </si>
  <si>
    <t xml:space="preserve"> (x.x bar)(XX.X PSI)'89-'92 Camaro 5.0L V8(IC-785)</t>
  </si>
  <si>
    <t xml:space="preserve">MPI 5235436  215 cm3/min(20.7 LBS/HR) </t>
  </si>
  <si>
    <t xml:space="preserve"> (x.x bar)(XX.X PSI)1989 CHEV 5.7L V8(STYLE VI)(IC-038)</t>
  </si>
  <si>
    <t xml:space="preserve">MPI 5235437  215 cm3/min(20.7 LBS/HR) </t>
  </si>
  <si>
    <t xml:space="preserve">MPI 5235451  228 cm3/min(22.0 LBS/HR) </t>
  </si>
  <si>
    <t xml:space="preserve"> (3.0 bar)(43.5 PSI)CADILLAC 4.5L V8(12.4 Ohms)(STYLE VI)(IC-036)</t>
  </si>
  <si>
    <t xml:space="preserve">TBI 5235484  xxx cm3/min(XX.X LBS/HR) </t>
  </si>
  <si>
    <t xml:space="preserve">TBI 5235760  xxx cm3/min(XX.X LBS/HR) </t>
  </si>
  <si>
    <t xml:space="preserve">MPI 5287350  xxx cm3/min(XX.X LBS/HR) </t>
  </si>
  <si>
    <t>MPI 15637677 311 cm3/min(30.0 LBS/HR)</t>
  </si>
  <si>
    <t xml:space="preserve"> (3.0 bar)(43.5 PSI)'91-'93 GMC 4.3L V6 Turbo(0 280 150 756)(STYLE II)(IC-050)</t>
  </si>
  <si>
    <t>MPI 17069647 228 cm3/min(22.0 LBS/HR)</t>
  </si>
  <si>
    <t xml:space="preserve"> (3.0 bar)(43.5 PSI)'90-'92 Vette 5.7L DOHC V8(LT-5)(STYLE VI)(IC-048)</t>
  </si>
  <si>
    <t>MPI 17069648 228 cm3/min(22.0 LBS/HR)</t>
  </si>
  <si>
    <t xml:space="preserve"> (3.0 bar)(43.5 PSI)'90-'92 Vette 5.7L DOHC V8(LT-5)(STYLE VI)(IC-036)</t>
  </si>
  <si>
    <t>MPI 17087325 209 cm3/min(20.2 LBS/HR)</t>
  </si>
  <si>
    <t xml:space="preserve"> (3.4 bar)(50.0 PSI)1992 Vette 5.7L V8(12.15 Ohms)(IC-115)</t>
  </si>
  <si>
    <t>MPI 17087960 xxx cm3/min(XX.X LBS/HR)</t>
  </si>
  <si>
    <t xml:space="preserve"> (x.x bar)(XX.X PSI)1991 CADILLAC Eldorado 4.9L V8</t>
  </si>
  <si>
    <t>MPI 17090844 311 cm3/min(30.0 LBS/HR)</t>
  </si>
  <si>
    <t xml:space="preserve"> (x.x bar)(XX.X PSI)1995 GM 3.4L DOHC V6</t>
  </si>
  <si>
    <t>MPI 17095004 xxx cm3/min(XX.X LBS/HR)</t>
  </si>
  <si>
    <t>MPI 17104988 746 cm3/min(72.0 LBS/HR)</t>
  </si>
  <si>
    <t xml:space="preserve"> (x.x bar)(XX.X PSI)AFTERMARKET(2 Ohms)(STYLE II)</t>
  </si>
  <si>
    <t>MPI 17109952 228 cm3/min(22.0 LBS/HR)</t>
  </si>
  <si>
    <t xml:space="preserve"> (3.0 bar)(43.5 PSI)'93-'95 Vette 5.7L DOHC V8(LT-5)(IC-098)</t>
  </si>
  <si>
    <t>MPI 17109953 228 cm3/min(22.0 LBS/HR)</t>
  </si>
  <si>
    <t>% Density drop from sea level</t>
  </si>
  <si>
    <t>% of sea level density</t>
  </si>
  <si>
    <t xml:space="preserve"> (3.0 bar)(43.5 PSI)'93-'95 Vette 5.7L DOHC V8(LT-5)(IC-097)</t>
  </si>
  <si>
    <t>MPI 17120254 219 cm3/min(21.1 LBS/HR)</t>
  </si>
  <si>
    <t xml:space="preserve"> (3.4 bar)(50.0 PSI)1995 Vette 5.7L V8(12.15 Ohms)(IC-095)</t>
  </si>
  <si>
    <t>MPI 17121068 219 cm3/min(21.1 LBS/HR)</t>
  </si>
  <si>
    <t xml:space="preserve"> (3.4 bar)(50.0 PSI)1994 Vette 5.7L V8(12.15 Ohms)(IC-095)</t>
  </si>
  <si>
    <t>MPI 17121882 311 cm3/min(30.0 LBS/HR)</t>
  </si>
  <si>
    <t xml:space="preserve"> (x.x bar)(XX.X PSI)1996 GM 3.4L DOHC V6</t>
  </si>
  <si>
    <t>MPI 17121909 280 cm3/min(27.0 LBS/HR)</t>
  </si>
  <si>
    <t xml:space="preserve"> (3.4 bar)(50.0 PSI)1996 Vette 5.7L V8(LT-4)(12.15 Ohms)(IC-781)</t>
  </si>
  <si>
    <t>MPI 17121947 209 cm3/min(20.2 LBS/HR)</t>
  </si>
  <si>
    <t xml:space="preserve"> (3.4 bar)(50.0 PSI)1993 Vette 5.7L V8(12.15 Ohms)(IC-151)</t>
  </si>
  <si>
    <t>CFI 17123907 xxx cm3/min(XX.X LBS/HR)</t>
  </si>
  <si>
    <t xml:space="preserve"> (x.x bar)(XX.X PSI)GM Truck 4.3L V6</t>
  </si>
  <si>
    <t>MPI 17124248 219 cm3/min(21.1 LBS/HR)</t>
  </si>
  <si>
    <t xml:space="preserve"> (3.4 bar)(50.0 PSI)1996 Vette 5.7L V8(LT-1)(12.15 Ohms)(IC-151)</t>
  </si>
  <si>
    <t>MPI 17124251 280 cm3/min(27.0 LBS/HR)</t>
  </si>
  <si>
    <t>MPI 17124289 280 cm3/min(27.0 LBS/HR)</t>
  </si>
  <si>
    <t>TOMCO PN          Flowrate                  Application</t>
  </si>
  <si>
    <t>TBI 15000</t>
  </si>
  <si>
    <t xml:space="preserve"> (x.x bar)(XX.X PSI)(STYLE ?)</t>
  </si>
  <si>
    <t>TBI 15001</t>
  </si>
  <si>
    <t>TBI 15003</t>
  </si>
  <si>
    <t>TBI 15004</t>
  </si>
  <si>
    <t>TBI 15005</t>
  </si>
  <si>
    <t>TBI 15006</t>
  </si>
  <si>
    <t>TBI 15007</t>
  </si>
  <si>
    <t>TBI 15008</t>
  </si>
  <si>
    <t>TBI 15009</t>
  </si>
  <si>
    <t>TBI 15010</t>
  </si>
  <si>
    <t>TBI 15011</t>
  </si>
  <si>
    <t>TBI 15012</t>
  </si>
  <si>
    <t>TBI 15014</t>
  </si>
  <si>
    <t>379 cm3/min(36.6 LBS/HR)</t>
  </si>
  <si>
    <t xml:space="preserve"> (2.7 bar)(39.2 PSI)(STYLE 1)(2.5 Ohms)</t>
  </si>
  <si>
    <t>TBI 15015</t>
  </si>
  <si>
    <t>503 cm3/min(48.6 LBS/HR)</t>
  </si>
  <si>
    <t>TBI 15016</t>
  </si>
  <si>
    <t>540 cm3/min(52.1 LBS/HR)</t>
  </si>
  <si>
    <t>MPI 15500</t>
  </si>
  <si>
    <t>188 cm3/min(18.1 LBS/HR)</t>
  </si>
  <si>
    <t xml:space="preserve"> (2.5 bar)(36.3 PSI)(STYLE 4)(2.5 Ohms)</t>
  </si>
  <si>
    <t>MPI 15501</t>
  </si>
  <si>
    <t xml:space="preserve"> (2.5 bar)(36.3 PSI)(STYLE 5)(15 Ohms)</t>
  </si>
  <si>
    <t>MPI 15502</t>
  </si>
  <si>
    <t>212 cm3/min(20.4 LBS/HR)</t>
  </si>
  <si>
    <t xml:space="preserve"> (2.5 bar)(36.3 PSI)(STYLE 3)(2.5 Ohms)</t>
  </si>
  <si>
    <t>MPI 15503</t>
  </si>
  <si>
    <t>MPI 15504</t>
  </si>
  <si>
    <t>260 cm3/min(25.1 LBS/HR)</t>
  </si>
  <si>
    <t xml:space="preserve"> (2.5 bar)(36.3 PSI)(STYLE 5)(2.5 Ohms)</t>
  </si>
  <si>
    <t>MPI 15505</t>
  </si>
  <si>
    <t xml:space="preserve"> (2.5 bar)(36.3 PSI)(STYLE 2)(15 Ohms)</t>
  </si>
  <si>
    <t>MPI 15506</t>
  </si>
  <si>
    <t>164 cm3/min(15.9 LBS/HR)</t>
  </si>
  <si>
    <t xml:space="preserve"> (3.0 bar)(43.5 PSI)(STYLE 2)(15 Ohms)</t>
  </si>
  <si>
    <t>MPI 15507</t>
  </si>
  <si>
    <t>146 cm3/min(14.1 LBS/HR)</t>
  </si>
  <si>
    <t xml:space="preserve"> (2.7 bar)(39.2 PSI)(STYLE 2)(2.5 Ohms)</t>
  </si>
  <si>
    <t>MPI 15508</t>
  </si>
  <si>
    <t>367 cm3/min(35.5 LBS/HR)</t>
  </si>
  <si>
    <t>MPI 15509</t>
  </si>
  <si>
    <t>299 cm3/min(28.9 LBS/HR)</t>
  </si>
  <si>
    <t>MPI 15510</t>
  </si>
  <si>
    <t>422 cm3/min(40.7 LBS/HR)</t>
  </si>
  <si>
    <t>MPI 15511</t>
  </si>
  <si>
    <t>MPI 15512</t>
  </si>
  <si>
    <t>237 cm3/min(22.9 LBS/HR)</t>
  </si>
  <si>
    <t xml:space="preserve"> (2.5 bar)(36.3 PSI)(STYLE 2)(2.5 Ohms)</t>
  </si>
  <si>
    <t>MPI 15513</t>
  </si>
  <si>
    <t>MPI 15514</t>
  </si>
  <si>
    <t>MPI 15515</t>
  </si>
  <si>
    <t>248 cm3/min(23.9 LBS/HR)</t>
  </si>
  <si>
    <t>MPI 15517</t>
  </si>
  <si>
    <t>216 cm3/min(20.9 LBS/HR)</t>
  </si>
  <si>
    <t xml:space="preserve"> (3.0 bar)(43.5 PSI)(STYLE 7)(15 Ohms)</t>
  </si>
  <si>
    <t>MPI 15518</t>
  </si>
  <si>
    <t>MPI 15520</t>
  </si>
  <si>
    <t xml:space="preserve"> (x.x bar)(XX.X PSI)(STYLE ?)( ?  Ohms)</t>
  </si>
  <si>
    <t>MPI 15521</t>
  </si>
  <si>
    <t xml:space="preserve"> (2.5 bar)(36.3 PSI)(STYLE 6)(2.5 Ohms)</t>
  </si>
  <si>
    <t>MPI 15522</t>
  </si>
  <si>
    <t xml:space="preserve"> (3.0 bar)(43.5 PSI)(STYLE 8)(2.5 Ohms)</t>
  </si>
  <si>
    <t>MPI 15525</t>
  </si>
  <si>
    <t>MPI 15526</t>
  </si>
  <si>
    <t>MPI 15527</t>
  </si>
  <si>
    <t>MPI 15528</t>
  </si>
  <si>
    <t>MPI 15529</t>
  </si>
  <si>
    <t>MPI 15530</t>
  </si>
  <si>
    <t>MPI 15531</t>
  </si>
  <si>
    <t>MPI 15532</t>
  </si>
  <si>
    <t>MPI 15533</t>
  </si>
  <si>
    <t>MPI 15534</t>
  </si>
  <si>
    <t>MPI 15535</t>
  </si>
  <si>
    <t>MPI 15536</t>
  </si>
  <si>
    <t>MPI 15537</t>
  </si>
  <si>
    <t>MPI 15538</t>
  </si>
  <si>
    <t>MPI 15540</t>
  </si>
  <si>
    <t>MPI 15541</t>
  </si>
  <si>
    <t>MPI 15542</t>
  </si>
  <si>
    <t>MPI 15543</t>
  </si>
  <si>
    <t>MPI 15544</t>
  </si>
  <si>
    <t>MPI 15545</t>
  </si>
  <si>
    <t>MPI 15546</t>
  </si>
  <si>
    <t>MPI 15547</t>
  </si>
  <si>
    <t>MPI 15548</t>
  </si>
  <si>
    <t>MPI 15549</t>
  </si>
  <si>
    <t>MPI 15550</t>
  </si>
  <si>
    <t>MPI 15551</t>
  </si>
  <si>
    <t>MPI 15552</t>
  </si>
  <si>
    <t>MPI 15553</t>
  </si>
  <si>
    <t>MPI 15554</t>
  </si>
  <si>
    <t>MPI 15600</t>
  </si>
  <si>
    <t>371 cm3/min(35.8 LBS/HR)</t>
  </si>
  <si>
    <t xml:space="preserve"> (2.7 bar)(39.2 PSI)(STYLE 2)(16 Ohms)</t>
  </si>
  <si>
    <t xml:space="preserve">TOYOTA PN        Flowrate                  </t>
  </si>
  <si>
    <t xml:space="preserve">Type "C" Connector </t>
  </si>
  <si>
    <t>23250-13010  145 cm3/min(14.01 LBS/HR)(2.50 bar)(36.3 PSI)</t>
  </si>
  <si>
    <t xml:space="preserve">4K-E  (Light Green)(2.4 Ohms)(IC-521) </t>
  </si>
  <si>
    <t>xxxxx-xxxxx  145 cm3/min(14.01 LBS/HR)(2.50 bar)(36.3 PSI)</t>
  </si>
  <si>
    <t>1G-E  (Green)(2.4 Ohms)</t>
  </si>
  <si>
    <t>Walbro fuel pump flow rate and current draw at 13.5 volts</t>
  </si>
  <si>
    <t>Power</t>
  </si>
  <si>
    <t>Walbro fuel pump flow rates and current draw at 12 volts</t>
  </si>
  <si>
    <t>Holley fuel pump flow rate and current draw at 12 volts</t>
  </si>
  <si>
    <t>255LPH</t>
  </si>
  <si>
    <t>amps</t>
  </si>
  <si>
    <t>Stock 5.0L Mustang fuel pump flow rate and current draw at 12 volts</t>
  </si>
  <si>
    <t>Stock</t>
  </si>
  <si>
    <t>Octane requirement and boost retard calculator</t>
  </si>
  <si>
    <t>xxxxx-xxxxx  182 cm3/min(17.58 LBS/HR)(2.50 bar)(36.3 PSI)</t>
  </si>
  <si>
    <t>4A-GE (EFI-D - 5/87)(Dark Grey)(2 Ohm)</t>
  </si>
  <si>
    <t>23250-45011  182 cm3/min(17.58 LBS/HR)(2.50 bar)(36.3 PSI)</t>
  </si>
  <si>
    <t>1G-GE,4M-E,5M-E,5M-GE,6M-GE,22R-E(- 8/88),</t>
  </si>
  <si>
    <t>1S-E,2S-E,3Y-E,4Y-E (Grey)(2.4 Ohms)(IC-520)</t>
  </si>
  <si>
    <t>23250-45011  195 cm3/min(18.84 LBS/HR)(2.84 bar)(41.2 PSI)</t>
  </si>
  <si>
    <t>xxxxx-xxxxx  210 cm3/min(20.29 LBS/HR)(2.50 bar)(36.3 PSI)</t>
  </si>
  <si>
    <t>4A-GE (EFI-L - 8/87)(Blue)(2.4 Ohms)</t>
  </si>
  <si>
    <t>23250-35010  250 cm3/min(24.15 LBS/HR)(2.50 bar)(36.3 PSI)</t>
  </si>
  <si>
    <t>22R-TE(1/85 - 8/85)(Yellow-Orange)(1.7 Ohms)(IC-594)</t>
  </si>
  <si>
    <t>23250-35020  295 cm3/min(28.50 LBS/HR)(2.50 bar)(36.3 PSI)</t>
  </si>
  <si>
    <t>22R-TE(8/85 - 8/88)(Pink)(1.6 Ohms)(IC-598)</t>
  </si>
  <si>
    <t>Type "D" Connector</t>
  </si>
  <si>
    <t>xxxxx-xxxxx  155 cm3/min(14.97 LBS/HR)(2.84 bar)(41.2 PSI)</t>
  </si>
  <si>
    <t>4A-FE (Carina II/Lean Burn)(Purple)(13.8 Ohms)</t>
  </si>
  <si>
    <t>23250-74050  250 cm3/min(24.15 LBS/HR)(2.50 bar)(36.3 PSI)</t>
  </si>
  <si>
    <t>3S-GE (ALL - 8/89, Except 7/87 - 8/89 w/TWC)</t>
  </si>
  <si>
    <t>(Brown)(13.8 Ohms)(IC-642)</t>
  </si>
  <si>
    <t>Type "E" Connector</t>
  </si>
  <si>
    <t xml:space="preserve">23250-74030 </t>
  </si>
  <si>
    <t xml:space="preserve"> 200 cm3/min(19.32 LBS/HR)(2.84 bar)(41.2 PSI)</t>
  </si>
  <si>
    <t>3S-FE (- 8/87)(Dark Grey)(1.7 Ohms)(IC-640)</t>
  </si>
  <si>
    <t>23250-73010</t>
  </si>
  <si>
    <t>4Y-E  (8/87 -)(Beige)(1.7 Ohms)(IC-638)</t>
  </si>
  <si>
    <t>xxxxx-xxxxx</t>
  </si>
  <si>
    <t>22R-E (8/87 -)(Orange)(1.7 Ohms)</t>
  </si>
  <si>
    <t>3VZ-E (Brown)(1.7 Ohms)</t>
  </si>
  <si>
    <t>4A-GE (EFI-D w/MAP Sensor 5/87 -)(Pink)(2.7 Ohms)</t>
  </si>
  <si>
    <t>23250-70040</t>
  </si>
  <si>
    <t xml:space="preserve"> 295 cm3/min(28.50 LBS/HR)(2.50 bar)(36.3 PSI)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</si>
</sst>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0.0000000000"/>
    <numFmt numFmtId="173" formatCode="0.0000000000000"/>
    <numFmt numFmtId="174" formatCode="0.000000000000"/>
    <numFmt numFmtId="175" formatCode="0.00000000000"/>
  </numFmts>
  <fonts count="14">
    <font>
      <sz val="10"/>
      <name val="Arial"/>
      <family val="0"/>
    </font>
    <font>
      <b/>
      <sz val="10"/>
      <name val="Arial"/>
      <family val="2"/>
    </font>
    <font>
      <sz val="8"/>
      <name val="Tahoma"/>
      <family val="0"/>
    </font>
    <font>
      <b/>
      <sz val="8"/>
      <name val="Tahoma"/>
      <family val="0"/>
    </font>
    <font>
      <b/>
      <sz val="16"/>
      <name val="Arial"/>
      <family val="0"/>
    </font>
    <font>
      <u val="single"/>
      <sz val="10"/>
      <color indexed="12"/>
      <name val="Arial"/>
      <family val="0"/>
    </font>
    <font>
      <u val="single"/>
      <sz val="10"/>
      <color indexed="36"/>
      <name val="Arial"/>
      <family val="0"/>
    </font>
    <font>
      <b/>
      <sz val="12"/>
      <name val="Arial"/>
      <family val="2"/>
    </font>
    <font>
      <sz val="11.25"/>
      <name val="Arial"/>
      <family val="0"/>
    </font>
    <font>
      <b/>
      <sz val="11.5"/>
      <name val="Arial"/>
      <family val="0"/>
    </font>
    <font>
      <sz val="11.5"/>
      <name val="Arial"/>
      <family val="0"/>
    </font>
    <font>
      <b/>
      <sz val="10"/>
      <name val="Helv"/>
      <family val="0"/>
    </font>
    <font>
      <sz val="8"/>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35">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1" fontId="0" fillId="0" borderId="0" xfId="0" applyNumberFormat="1" applyAlignment="1">
      <alignment/>
    </xf>
    <xf numFmtId="49" fontId="0" fillId="0" borderId="0" xfId="0" applyNumberFormat="1" applyAlignment="1">
      <alignment/>
    </xf>
    <xf numFmtId="0" fontId="1" fillId="0" borderId="0" xfId="0" applyFont="1" applyAlignment="1">
      <alignment/>
    </xf>
    <xf numFmtId="1" fontId="1" fillId="2" borderId="1" xfId="0" applyNumberFormat="1" applyFont="1" applyFill="1" applyBorder="1" applyAlignment="1">
      <alignment horizontal="center"/>
    </xf>
    <xf numFmtId="0" fontId="1" fillId="3" borderId="1" xfId="0" applyFont="1" applyFill="1" applyBorder="1" applyAlignment="1">
      <alignment horizontal="center"/>
    </xf>
    <xf numFmtId="1" fontId="0" fillId="2" borderId="1" xfId="0" applyNumberFormat="1" applyFill="1" applyBorder="1" applyAlignment="1">
      <alignment horizontal="center"/>
    </xf>
    <xf numFmtId="0" fontId="0" fillId="0" borderId="0" xfId="0" applyAlignment="1">
      <alignment horizontal="center"/>
    </xf>
    <xf numFmtId="1" fontId="0" fillId="0" borderId="0" xfId="0" applyNumberFormat="1" applyAlignment="1">
      <alignment horizontal="center"/>
    </xf>
    <xf numFmtId="0" fontId="1" fillId="0" borderId="0" xfId="0" applyFont="1" applyAlignment="1">
      <alignment horizontal="center"/>
    </xf>
    <xf numFmtId="0" fontId="0" fillId="2" borderId="1" xfId="0" applyFill="1" applyBorder="1" applyAlignment="1">
      <alignment/>
    </xf>
    <xf numFmtId="0" fontId="1" fillId="2" borderId="1" xfId="0" applyFont="1" applyFill="1" applyBorder="1" applyAlignment="1">
      <alignment horizontal="center"/>
    </xf>
    <xf numFmtId="1" fontId="0" fillId="2" borderId="1" xfId="0" applyNumberFormat="1" applyFill="1" applyBorder="1" applyAlignment="1">
      <alignment/>
    </xf>
    <xf numFmtId="0" fontId="0" fillId="3" borderId="1" xfId="0" applyFill="1" applyBorder="1" applyAlignment="1" applyProtection="1">
      <alignment horizontal="center"/>
      <protection locked="0"/>
    </xf>
    <xf numFmtId="0" fontId="0" fillId="3" borderId="1" xfId="0" applyFill="1" applyBorder="1" applyAlignment="1" applyProtection="1">
      <alignment/>
      <protection locked="0"/>
    </xf>
    <xf numFmtId="1" fontId="1" fillId="2" borderId="2" xfId="0" applyNumberFormat="1" applyFont="1" applyFill="1" applyBorder="1" applyAlignment="1">
      <alignment horizontal="center"/>
    </xf>
    <xf numFmtId="171" fontId="0" fillId="2" borderId="1" xfId="0" applyNumberFormat="1" applyFill="1" applyBorder="1" applyAlignment="1">
      <alignment/>
    </xf>
    <xf numFmtId="0" fontId="1" fillId="0" borderId="1" xfId="0" applyFont="1" applyBorder="1" applyAlignment="1">
      <alignment horizontal="center"/>
    </xf>
    <xf numFmtId="171" fontId="0" fillId="2" borderId="1" xfId="0" applyNumberFormat="1" applyFill="1" applyBorder="1" applyAlignment="1">
      <alignment horizontal="center"/>
    </xf>
    <xf numFmtId="0" fontId="0" fillId="0" borderId="0" xfId="0" applyAlignment="1">
      <alignment wrapText="1"/>
    </xf>
    <xf numFmtId="0" fontId="1" fillId="4" borderId="3" xfId="0" applyFont="1" applyFill="1" applyBorder="1" applyAlignment="1">
      <alignment horizontal="center" vertical="center" wrapText="1"/>
    </xf>
    <xf numFmtId="0" fontId="0" fillId="4" borderId="4" xfId="0" applyFill="1" applyBorder="1" applyAlignment="1">
      <alignment wrapText="1"/>
    </xf>
    <xf numFmtId="0" fontId="0" fillId="0" borderId="3" xfId="0" applyBorder="1" applyAlignment="1">
      <alignment/>
    </xf>
    <xf numFmtId="0" fontId="0" fillId="4" borderId="3" xfId="0" applyFill="1" applyBorder="1" applyAlignment="1">
      <alignment wrapText="1"/>
    </xf>
    <xf numFmtId="0" fontId="0" fillId="4" borderId="5" xfId="0" applyFill="1" applyBorder="1" applyAlignment="1">
      <alignment wrapText="1"/>
    </xf>
    <xf numFmtId="0" fontId="0" fillId="4" borderId="6" xfId="0" applyFill="1" applyBorder="1" applyAlignment="1">
      <alignment wrapText="1"/>
    </xf>
    <xf numFmtId="0" fontId="0" fillId="0" borderId="4" xfId="0" applyBorder="1" applyAlignment="1">
      <alignment/>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wrapText="1"/>
    </xf>
    <xf numFmtId="0" fontId="1" fillId="4" borderId="5" xfId="0" applyFont="1" applyFill="1" applyBorder="1" applyAlignment="1">
      <alignment horizontal="center" vertical="center"/>
    </xf>
    <xf numFmtId="0" fontId="0" fillId="4" borderId="9" xfId="0" applyFill="1" applyBorder="1" applyAlignment="1">
      <alignment wrapText="1"/>
    </xf>
    <xf numFmtId="0" fontId="0" fillId="4" borderId="5" xfId="0" applyFill="1" applyBorder="1" applyAlignment="1">
      <alignment horizontal="center" vertical="top" wrapText="1"/>
    </xf>
    <xf numFmtId="9" fontId="0" fillId="3" borderId="1" xfId="21" applyFill="1" applyBorder="1" applyAlignment="1" applyProtection="1">
      <alignment/>
      <protection locked="0"/>
    </xf>
    <xf numFmtId="1" fontId="0" fillId="2" borderId="1" xfId="0" applyNumberFormat="1" applyFill="1" applyBorder="1" applyAlignment="1">
      <alignment horizontal="right"/>
    </xf>
    <xf numFmtId="0" fontId="0" fillId="2" borderId="1" xfId="0" applyFont="1" applyFill="1" applyBorder="1" applyAlignment="1">
      <alignment horizontal="center"/>
    </xf>
    <xf numFmtId="0" fontId="0" fillId="2" borderId="1" xfId="0" applyFill="1" applyBorder="1" applyAlignment="1">
      <alignment horizontal="center"/>
    </xf>
    <xf numFmtId="170" fontId="0" fillId="2" borderId="1" xfId="0" applyNumberFormat="1" applyFill="1" applyBorder="1" applyAlignment="1">
      <alignment horizontal="center"/>
    </xf>
    <xf numFmtId="2" fontId="0" fillId="2" borderId="1" xfId="0" applyNumberFormat="1" applyFill="1" applyBorder="1" applyAlignment="1">
      <alignment/>
    </xf>
    <xf numFmtId="0" fontId="0" fillId="0" borderId="3" xfId="0" applyBorder="1" applyAlignment="1">
      <alignment wrapText="1"/>
    </xf>
    <xf numFmtId="0" fontId="1" fillId="0" borderId="3" xfId="0" applyFont="1" applyBorder="1" applyAlignment="1">
      <alignment wrapText="1"/>
    </xf>
    <xf numFmtId="0" fontId="1" fillId="0" borderId="6" xfId="0" applyFont="1" applyBorder="1" applyAlignment="1">
      <alignment wrapText="1"/>
    </xf>
    <xf numFmtId="0" fontId="0" fillId="0" borderId="6" xfId="0" applyBorder="1" applyAlignment="1">
      <alignment wrapText="1"/>
    </xf>
    <xf numFmtId="0" fontId="1" fillId="0" borderId="9" xfId="0" applyFont="1" applyBorder="1" applyAlignment="1">
      <alignment wrapText="1"/>
    </xf>
    <xf numFmtId="0" fontId="0" fillId="0" borderId="5" xfId="0" applyBorder="1" applyAlignment="1">
      <alignment wrapText="1"/>
    </xf>
    <xf numFmtId="0" fontId="0" fillId="0" borderId="8" xfId="0" applyBorder="1" applyAlignment="1">
      <alignment wrapText="1"/>
    </xf>
    <xf numFmtId="0" fontId="1" fillId="0" borderId="3" xfId="0" applyFont="1" applyBorder="1" applyAlignment="1">
      <alignment wrapText="1"/>
    </xf>
    <xf numFmtId="1" fontId="0" fillId="0" borderId="3" xfId="0" applyNumberFormat="1" applyBorder="1" applyAlignment="1">
      <alignment wrapText="1"/>
    </xf>
    <xf numFmtId="2" fontId="0" fillId="2" borderId="1" xfId="0" applyNumberFormat="1" applyFill="1" applyBorder="1" applyAlignment="1">
      <alignment horizontal="center"/>
    </xf>
    <xf numFmtId="0" fontId="0" fillId="2" borderId="7" xfId="0" applyFill="1" applyBorder="1" applyAlignment="1">
      <alignment/>
    </xf>
    <xf numFmtId="171" fontId="0" fillId="2" borderId="7" xfId="0" applyNumberFormat="1" applyFill="1" applyBorder="1" applyAlignment="1">
      <alignment/>
    </xf>
    <xf numFmtId="171" fontId="0" fillId="3" borderId="1" xfId="0" applyNumberFormat="1" applyFill="1" applyBorder="1" applyAlignment="1" applyProtection="1">
      <alignment horizontal="center"/>
      <protection locked="0"/>
    </xf>
    <xf numFmtId="0" fontId="0" fillId="3" borderId="7" xfId="0" applyFill="1" applyBorder="1" applyAlignment="1" applyProtection="1">
      <alignment horizontal="center"/>
      <protection locked="0"/>
    </xf>
    <xf numFmtId="171" fontId="0" fillId="0" borderId="0" xfId="0" applyNumberFormat="1" applyAlignment="1">
      <alignment/>
    </xf>
    <xf numFmtId="9" fontId="0" fillId="2" borderId="1" xfId="21" applyFill="1" applyBorder="1" applyAlignment="1">
      <alignment/>
    </xf>
    <xf numFmtId="0" fontId="0" fillId="3" borderId="1" xfId="0" applyFill="1" applyBorder="1" applyAlignment="1">
      <alignment/>
    </xf>
    <xf numFmtId="0" fontId="0" fillId="2" borderId="0" xfId="0" applyFill="1" applyAlignment="1">
      <alignment/>
    </xf>
    <xf numFmtId="9" fontId="0" fillId="0" borderId="0" xfId="21" applyAlignment="1">
      <alignment/>
    </xf>
    <xf numFmtId="0" fontId="0" fillId="0" borderId="1" xfId="0" applyBorder="1" applyAlignment="1">
      <alignment horizontal="center"/>
    </xf>
    <xf numFmtId="0" fontId="0" fillId="2" borderId="1" xfId="0" applyFont="1" applyFill="1" applyBorder="1" applyAlignment="1">
      <alignment horizontal="left"/>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0" xfId="0" applyFill="1" applyAlignment="1">
      <alignment horizontal="center"/>
    </xf>
    <xf numFmtId="9" fontId="0" fillId="2" borderId="1" xfId="21" applyFill="1" applyBorder="1" applyAlignment="1">
      <alignment horizontal="center"/>
    </xf>
    <xf numFmtId="9" fontId="0" fillId="2" borderId="2" xfId="21" applyFill="1" applyBorder="1" applyAlignment="1">
      <alignment horizontal="center"/>
    </xf>
    <xf numFmtId="0" fontId="0" fillId="2" borderId="0" xfId="0" applyFill="1" applyAlignment="1">
      <alignment horizontal="right"/>
    </xf>
    <xf numFmtId="171" fontId="0" fillId="2" borderId="0" xfId="0" applyNumberFormat="1" applyFill="1" applyAlignment="1">
      <alignment/>
    </xf>
    <xf numFmtId="170" fontId="0" fillId="2" borderId="0" xfId="0" applyNumberFormat="1" applyFill="1" applyAlignment="1">
      <alignment/>
    </xf>
    <xf numFmtId="3" fontId="0" fillId="3" borderId="1" xfId="0" applyNumberFormat="1" applyFill="1" applyBorder="1" applyAlignment="1" applyProtection="1">
      <alignment horizontal="center"/>
      <protection locked="0"/>
    </xf>
    <xf numFmtId="9" fontId="0" fillId="3" borderId="1" xfId="21" applyFill="1" applyBorder="1" applyAlignment="1" applyProtection="1">
      <alignment horizontal="center"/>
      <protection locked="0"/>
    </xf>
    <xf numFmtId="0" fontId="0" fillId="0" borderId="0" xfId="0" applyFont="1" applyAlignment="1">
      <alignment horizontal="left"/>
    </xf>
    <xf numFmtId="0" fontId="11" fillId="0" borderId="0" xfId="0" applyNumberFormat="1" applyFont="1" applyAlignment="1">
      <alignment horizontal="left"/>
    </xf>
    <xf numFmtId="0" fontId="0" fillId="0" borderId="0" xfId="0" applyNumberFormat="1" applyAlignment="1">
      <alignment horizontal="left"/>
    </xf>
    <xf numFmtId="3" fontId="11" fillId="0" borderId="0" xfId="0" applyNumberFormat="1" applyFont="1" applyAlignment="1">
      <alignment horizontal="right"/>
    </xf>
    <xf numFmtId="0" fontId="0" fillId="0" borderId="0" xfId="0" applyNumberFormat="1" applyAlignment="1">
      <alignment horizontal="right"/>
    </xf>
    <xf numFmtId="0" fontId="0" fillId="0" borderId="0" xfId="0" applyNumberFormat="1" applyFont="1" applyAlignment="1">
      <alignment horizontal="right"/>
    </xf>
    <xf numFmtId="1" fontId="0" fillId="0" borderId="0" xfId="0" applyNumberFormat="1" applyAlignment="1">
      <alignment horizontal="right"/>
    </xf>
    <xf numFmtId="3" fontId="0" fillId="0" borderId="0" xfId="0" applyNumberFormat="1" applyAlignment="1">
      <alignment horizontal="right"/>
    </xf>
    <xf numFmtId="0" fontId="0" fillId="0" borderId="0" xfId="0" applyAlignment="1">
      <alignment/>
    </xf>
    <xf numFmtId="0" fontId="4" fillId="0" borderId="0" xfId="0" applyFont="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1" fontId="0" fillId="3" borderId="1" xfId="0" applyNumberFormat="1" applyFill="1" applyBorder="1" applyAlignment="1" applyProtection="1">
      <alignment/>
      <protection locked="0"/>
    </xf>
    <xf numFmtId="0" fontId="0" fillId="2" borderId="2" xfId="0" applyFill="1" applyBorder="1" applyAlignment="1">
      <alignment/>
    </xf>
    <xf numFmtId="0" fontId="0" fillId="2" borderId="10" xfId="0" applyFill="1" applyBorder="1" applyAlignment="1">
      <alignment/>
    </xf>
    <xf numFmtId="170" fontId="0" fillId="2" borderId="11" xfId="0" applyNumberFormat="1"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171" fontId="0" fillId="2" borderId="15" xfId="0" applyNumberFormat="1" applyFill="1" applyBorder="1" applyAlignment="1">
      <alignment/>
    </xf>
    <xf numFmtId="0" fontId="0" fillId="2" borderId="16" xfId="0" applyFill="1" applyBorder="1" applyAlignment="1">
      <alignment/>
    </xf>
    <xf numFmtId="0" fontId="0" fillId="2" borderId="11" xfId="0" applyFill="1" applyBorder="1" applyAlignment="1">
      <alignment/>
    </xf>
    <xf numFmtId="0" fontId="0" fillId="2" borderId="15" xfId="0" applyFill="1" applyBorder="1" applyAlignment="1">
      <alignment/>
    </xf>
    <xf numFmtId="9" fontId="0" fillId="2" borderId="1" xfId="21" applyFill="1" applyBorder="1" applyAlignment="1" applyProtection="1">
      <alignment/>
      <protection/>
    </xf>
    <xf numFmtId="0" fontId="0" fillId="3" borderId="1" xfId="0"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xf>
    <xf numFmtId="1" fontId="0" fillId="2" borderId="2" xfId="0" applyNumberFormat="1" applyFill="1" applyBorder="1" applyAlignment="1">
      <alignment horizontal="center"/>
    </xf>
    <xf numFmtId="0" fontId="0" fillId="2" borderId="17" xfId="0" applyFill="1" applyBorder="1" applyAlignment="1">
      <alignment/>
    </xf>
    <xf numFmtId="0" fontId="0" fillId="2" borderId="18" xfId="0" applyFill="1" applyBorder="1" applyAlignment="1">
      <alignment/>
    </xf>
    <xf numFmtId="0" fontId="0" fillId="3" borderId="15" xfId="0" applyFill="1" applyBorder="1" applyAlignment="1">
      <alignment/>
    </xf>
    <xf numFmtId="0" fontId="12" fillId="2" borderId="19" xfId="0" applyFont="1" applyFill="1" applyBorder="1" applyAlignment="1">
      <alignment horizontal="center" wrapText="1" shrinkToFit="1"/>
    </xf>
    <xf numFmtId="0" fontId="12" fillId="2" borderId="20" xfId="0" applyFont="1" applyFill="1" applyBorder="1" applyAlignment="1">
      <alignment horizontal="center" wrapText="1" shrinkToFit="1"/>
    </xf>
    <xf numFmtId="0" fontId="12" fillId="2" borderId="21" xfId="0" applyFont="1" applyFill="1" applyBorder="1" applyAlignment="1">
      <alignment horizontal="center" wrapText="1" shrinkToFit="1"/>
    </xf>
    <xf numFmtId="0" fontId="12" fillId="2" borderId="22" xfId="0" applyFont="1" applyFill="1" applyBorder="1" applyAlignment="1">
      <alignment horizontal="center" wrapText="1" shrinkToFit="1"/>
    </xf>
    <xf numFmtId="0" fontId="12" fillId="2" borderId="23" xfId="0" applyFont="1" applyFill="1" applyBorder="1" applyAlignment="1">
      <alignment horizontal="center" wrapText="1" shrinkToFit="1"/>
    </xf>
    <xf numFmtId="0" fontId="0" fillId="2" borderId="11" xfId="0" applyFill="1" applyBorder="1" applyAlignment="1">
      <alignment horizontal="center"/>
    </xf>
    <xf numFmtId="0" fontId="1" fillId="2" borderId="2" xfId="0" applyFont="1" applyFill="1" applyBorder="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1" fontId="1" fillId="2" borderId="1" xfId="0" applyNumberFormat="1" applyFont="1" applyFill="1" applyBorder="1" applyAlignment="1">
      <alignment horizontal="center"/>
    </xf>
    <xf numFmtId="1" fontId="1" fillId="2" borderId="2" xfId="0" applyNumberFormat="1" applyFont="1" applyFill="1" applyBorder="1" applyAlignment="1">
      <alignment horizontal="center"/>
    </xf>
    <xf numFmtId="0" fontId="1" fillId="2" borderId="1" xfId="0" applyFont="1" applyFill="1" applyBorder="1" applyAlignment="1">
      <alignment horizontal="center"/>
    </xf>
    <xf numFmtId="0" fontId="0" fillId="2" borderId="2"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2" borderId="1" xfId="0" applyFill="1" applyBorder="1" applyAlignment="1">
      <alignment horizontal="center"/>
    </xf>
    <xf numFmtId="0" fontId="0" fillId="4" borderId="0" xfId="0" applyFill="1" applyAlignment="1">
      <alignment vertical="top" wrapText="1"/>
    </xf>
    <xf numFmtId="0" fontId="0" fillId="0" borderId="0" xfId="0" applyAlignment="1">
      <alignment/>
    </xf>
    <xf numFmtId="0" fontId="1" fillId="4" borderId="7" xfId="0" applyFont="1" applyFill="1" applyBorder="1" applyAlignment="1">
      <alignment horizontal="center" vertical="center" wrapText="1"/>
    </xf>
    <xf numFmtId="0" fontId="0" fillId="4" borderId="5" xfId="0" applyFill="1" applyBorder="1" applyAlignment="1">
      <alignment horizontal="center" vertical="center" wrapText="1"/>
    </xf>
    <xf numFmtId="0" fontId="1" fillId="4" borderId="26" xfId="0" applyFont="1" applyFill="1" applyBorder="1" applyAlignment="1">
      <alignment horizontal="center" vertical="center" wrapText="1"/>
    </xf>
    <xf numFmtId="0" fontId="0" fillId="4" borderId="27" xfId="0" applyFill="1" applyBorder="1" applyAlignment="1">
      <alignment horizontal="center" vertical="center" wrapText="1"/>
    </xf>
    <xf numFmtId="0" fontId="0" fillId="4" borderId="7" xfId="0" applyFill="1" applyBorder="1" applyAlignment="1">
      <alignment wrapText="1"/>
    </xf>
    <xf numFmtId="0" fontId="0" fillId="4" borderId="5" xfId="0" applyFill="1" applyBorder="1" applyAlignment="1">
      <alignment wrapText="1"/>
    </xf>
    <xf numFmtId="0" fontId="0" fillId="4" borderId="26" xfId="0" applyFill="1" applyBorder="1" applyAlignment="1">
      <alignment wrapText="1"/>
    </xf>
    <xf numFmtId="0" fontId="0" fillId="4" borderId="27" xfId="0" applyFill="1" applyBorder="1" applyAlignment="1">
      <alignment wrapText="1"/>
    </xf>
    <xf numFmtId="0" fontId="4" fillId="0" borderId="28" xfId="0" applyFont="1" applyBorder="1" applyAlignment="1">
      <alignment horizontal="center" wrapText="1"/>
    </xf>
    <xf numFmtId="0" fontId="1" fillId="0" borderId="1" xfId="0" applyFont="1" applyBorder="1" applyAlignment="1">
      <alignment horizontal="center" wrapText="1"/>
    </xf>
    <xf numFmtId="0" fontId="4" fillId="0" borderId="0" xfId="0" applyFont="1" applyAlignment="1">
      <alignment horizontal="center" wrapText="1"/>
    </xf>
    <xf numFmtId="0" fontId="5" fillId="0" borderId="0" xfId="20" applyAlignment="1">
      <alignment horizontal="center"/>
    </xf>
    <xf numFmtId="0" fontId="1" fillId="0" borderId="29" xfId="0" applyFont="1" applyBorder="1" applyAlignment="1">
      <alignment horizontal="center" wrapText="1"/>
    </xf>
    <xf numFmtId="0" fontId="1" fillId="0" borderId="0" xfId="0" applyFont="1" applyBorder="1" applyAlignment="1">
      <alignment horizontal="center" wrapText="1"/>
    </xf>
    <xf numFmtId="0" fontId="1" fillId="0" borderId="4" xfId="0" applyFont="1" applyBorder="1" applyAlignment="1">
      <alignment horizontal="center" wrapText="1"/>
    </xf>
    <xf numFmtId="0" fontId="0" fillId="2" borderId="30"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12" fillId="2" borderId="33" xfId="0" applyFont="1" applyFill="1" applyBorder="1" applyAlignment="1">
      <alignment horizontal="center" wrapText="1" shrinkToFit="1"/>
    </xf>
    <xf numFmtId="0" fontId="0" fillId="2" borderId="34"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ont>
        <b/>
        <i val="0"/>
      </font>
      <fill>
        <patternFill>
          <bgColor rgb="FFFFCC99"/>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Dyno</a:t>
            </a:r>
          </a:p>
        </c:rich>
      </c:tx>
      <c:layout/>
      <c:spPr>
        <a:noFill/>
        <a:ln>
          <a:noFill/>
        </a:ln>
      </c:spPr>
    </c:title>
    <c:plotArea>
      <c:layout>
        <c:manualLayout>
          <c:xMode val="edge"/>
          <c:yMode val="edge"/>
          <c:x val="0.0335"/>
          <c:y val="0.063"/>
          <c:w val="0.948"/>
          <c:h val="0.899"/>
        </c:manualLayout>
      </c:layout>
      <c:lineChart>
        <c:grouping val="standard"/>
        <c:varyColors val="0"/>
        <c:ser>
          <c:idx val="0"/>
          <c:order val="0"/>
          <c:tx>
            <c:v>Power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0000"/>
                </a:solidFill>
              </a:ln>
            </c:spPr>
          </c:marker>
          <c:trendline>
            <c:spPr>
              <a:ln w="25400">
                <a:solidFill>
                  <a:srgbClr val="FF0000"/>
                </a:solidFill>
              </a:ln>
            </c:spPr>
            <c:trendlineType val="power"/>
            <c:dispEq val="0"/>
            <c:dispRSqr val="0"/>
          </c:trendline>
          <c:cat>
            <c:numRef>
              <c:f>Power!$K$32:$K$41</c:f>
              <c:numCache/>
            </c:numRef>
          </c:cat>
          <c:val>
            <c:numRef>
              <c:f>Power!$L$32:$L$41</c:f>
              <c:numCache/>
            </c:numRef>
          </c:val>
          <c:smooth val="0"/>
        </c:ser>
        <c:ser>
          <c:idx val="1"/>
          <c:order val="1"/>
          <c:tx>
            <c:v>Torque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FF00"/>
                </a:solidFill>
              </a:ln>
            </c:spPr>
          </c:marker>
          <c:trendline>
            <c:spPr>
              <a:ln w="25400">
                <a:solidFill>
                  <a:srgbClr val="00FF00"/>
                </a:solidFill>
                <a:prstDash val="dash"/>
              </a:ln>
            </c:spPr>
            <c:trendlineType val="power"/>
            <c:dispEq val="0"/>
            <c:dispRSqr val="0"/>
          </c:trendline>
          <c:val>
            <c:numRef>
              <c:f>Power!$M$32:$M$41</c:f>
              <c:numCache/>
            </c:numRef>
          </c:val>
          <c:smooth val="0"/>
        </c:ser>
        <c:axId val="26444123"/>
        <c:axId val="36670516"/>
      </c:lineChart>
      <c:catAx>
        <c:axId val="26444123"/>
        <c:scaling>
          <c:orientation val="minMax"/>
        </c:scaling>
        <c:axPos val="b"/>
        <c:title>
          <c:tx>
            <c:rich>
              <a:bodyPr vert="horz" rot="0" anchor="ctr"/>
              <a:lstStyle/>
              <a:p>
                <a:pPr algn="ctr">
                  <a:defRPr/>
                </a:pPr>
                <a:r>
                  <a:rPr lang="en-US" cap="none" sz="1150" b="1" i="0" u="none" baseline="0">
                    <a:latin typeface="Arial"/>
                    <a:ea typeface="Arial"/>
                    <a:cs typeface="Arial"/>
                  </a:rPr>
                  <a:t>RPM</a:t>
                </a:r>
              </a:p>
            </c:rich>
          </c:tx>
          <c:layout>
            <c:manualLayout>
              <c:xMode val="factor"/>
              <c:yMode val="factor"/>
              <c:x val="0.05175"/>
              <c:y val="-0.13725"/>
            </c:manualLayout>
          </c:layout>
          <c:overlay val="0"/>
          <c:spPr>
            <a:noFill/>
            <a:ln>
              <a:noFill/>
            </a:ln>
          </c:spPr>
        </c:title>
        <c:majorGridlines/>
        <c:delete val="0"/>
        <c:numFmt formatCode="General" sourceLinked="1"/>
        <c:majorTickMark val="out"/>
        <c:minorTickMark val="none"/>
        <c:tickLblPos val="nextTo"/>
        <c:crossAx val="36670516"/>
        <c:crosses val="autoZero"/>
        <c:auto val="1"/>
        <c:lblOffset val="100"/>
        <c:noMultiLvlLbl val="0"/>
      </c:catAx>
      <c:valAx>
        <c:axId val="36670516"/>
        <c:scaling>
          <c:orientation val="minMax"/>
        </c:scaling>
        <c:axPos val="l"/>
        <c:title>
          <c:tx>
            <c:rich>
              <a:bodyPr vert="horz" rot="-5400000" anchor="ctr"/>
              <a:lstStyle/>
              <a:p>
                <a:pPr algn="ctr">
                  <a:defRPr/>
                </a:pPr>
                <a:r>
                  <a:rPr lang="en-US" cap="none" sz="1150" b="1" i="0" u="none" baseline="0">
                    <a:latin typeface="Arial"/>
                    <a:ea typeface="Arial"/>
                    <a:cs typeface="Arial"/>
                  </a:rPr>
                  <a:t>HP &amp; Ft*lbs</a:t>
                </a:r>
              </a:p>
            </c:rich>
          </c:tx>
          <c:layout/>
          <c:overlay val="0"/>
          <c:spPr>
            <a:noFill/>
            <a:ln>
              <a:noFill/>
            </a:ln>
          </c:spPr>
        </c:title>
        <c:majorGridlines/>
        <c:delete val="0"/>
        <c:numFmt formatCode="General" sourceLinked="1"/>
        <c:majorTickMark val="out"/>
        <c:minorTickMark val="none"/>
        <c:tickLblPos val="nextTo"/>
        <c:crossAx val="26444123"/>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85725</xdr:rowOff>
    </xdr:from>
    <xdr:to>
      <xdr:col>14</xdr:col>
      <xdr:colOff>381000</xdr:colOff>
      <xdr:row>5</xdr:row>
      <xdr:rowOff>133350</xdr:rowOff>
    </xdr:to>
    <xdr:sp>
      <xdr:nvSpPr>
        <xdr:cNvPr id="1" name="TextBox 1"/>
        <xdr:cNvSpPr txBox="1">
          <a:spLocks noChangeArrowheads="1"/>
        </xdr:cNvSpPr>
      </xdr:nvSpPr>
      <xdr:spPr>
        <a:xfrm>
          <a:off x="4143375" y="85725"/>
          <a:ext cx="446722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power the fuel system can support and may not be the power you actually get.  Injectors should normally be sized to use a range of 10% to 90%.  You can change any of the values on the far left column to calculate approximate power values for any flow rate injector.  You can only change values in blue cells.  The yellow cells are calculated values.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xdr:row>
      <xdr:rowOff>0</xdr:rowOff>
    </xdr:from>
    <xdr:to>
      <xdr:col>9</xdr:col>
      <xdr:colOff>476250</xdr:colOff>
      <xdr:row>5</xdr:row>
      <xdr:rowOff>28575</xdr:rowOff>
    </xdr:to>
    <xdr:sp>
      <xdr:nvSpPr>
        <xdr:cNvPr id="1" name="TextBox 1"/>
        <xdr:cNvSpPr txBox="1">
          <a:spLocks noChangeArrowheads="1"/>
        </xdr:cNvSpPr>
      </xdr:nvSpPr>
      <xdr:spPr>
        <a:xfrm>
          <a:off x="4914900" y="161925"/>
          <a:ext cx="21431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a rough estimate of the potential power gain from supercharging or turbocharging. </a:t>
          </a:r>
        </a:p>
      </xdr:txBody>
    </xdr:sp>
    <xdr:clientData/>
  </xdr:twoCellAnchor>
  <xdr:twoCellAnchor>
    <xdr:from>
      <xdr:col>6</xdr:col>
      <xdr:colOff>228600</xdr:colOff>
      <xdr:row>5</xdr:row>
      <xdr:rowOff>66675</xdr:rowOff>
    </xdr:from>
    <xdr:to>
      <xdr:col>11</xdr:col>
      <xdr:colOff>276225</xdr:colOff>
      <xdr:row>10</xdr:row>
      <xdr:rowOff>152400</xdr:rowOff>
    </xdr:to>
    <xdr:sp>
      <xdr:nvSpPr>
        <xdr:cNvPr id="2" name="TextBox 2"/>
        <xdr:cNvSpPr txBox="1">
          <a:spLocks noChangeArrowheads="1"/>
        </xdr:cNvSpPr>
      </xdr:nvSpPr>
      <xdr:spPr>
        <a:xfrm>
          <a:off x="4924425" y="876300"/>
          <a:ext cx="31527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data into the blue cells only.  The Yellow cells are calculated values.  The weight is used by nearly all calculations so make sure that is properly entered.  This weight is the total weight of the car, driver, fuel, etc.  Everything that will be in the car during the run.</a:t>
          </a:r>
        </a:p>
      </xdr:txBody>
    </xdr:sp>
    <xdr:clientData/>
  </xdr:twoCellAnchor>
  <xdr:twoCellAnchor>
    <xdr:from>
      <xdr:col>3</xdr:col>
      <xdr:colOff>600075</xdr:colOff>
      <xdr:row>7</xdr:row>
      <xdr:rowOff>38100</xdr:rowOff>
    </xdr:from>
    <xdr:to>
      <xdr:col>3</xdr:col>
      <xdr:colOff>600075</xdr:colOff>
      <xdr:row>10</xdr:row>
      <xdr:rowOff>114300</xdr:rowOff>
    </xdr:to>
    <xdr:sp>
      <xdr:nvSpPr>
        <xdr:cNvPr id="3" name="Line 4"/>
        <xdr:cNvSpPr>
          <a:spLocks/>
        </xdr:cNvSpPr>
      </xdr:nvSpPr>
      <xdr:spPr>
        <a:xfrm flipV="1">
          <a:off x="2952750" y="11715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7</xdr:row>
      <xdr:rowOff>47625</xdr:rowOff>
    </xdr:from>
    <xdr:to>
      <xdr:col>3</xdr:col>
      <xdr:colOff>581025</xdr:colOff>
      <xdr:row>7</xdr:row>
      <xdr:rowOff>47625</xdr:rowOff>
    </xdr:to>
    <xdr:sp>
      <xdr:nvSpPr>
        <xdr:cNvPr id="4" name="Line 5"/>
        <xdr:cNvSpPr>
          <a:spLocks/>
        </xdr:cNvSpPr>
      </xdr:nvSpPr>
      <xdr:spPr>
        <a:xfrm flipH="1">
          <a:off x="419100" y="1181100"/>
          <a:ext cx="2514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5</xdr:row>
      <xdr:rowOff>133350</xdr:rowOff>
    </xdr:from>
    <xdr:to>
      <xdr:col>0</xdr:col>
      <xdr:colOff>447675</xdr:colOff>
      <xdr:row>7</xdr:row>
      <xdr:rowOff>57150</xdr:rowOff>
    </xdr:to>
    <xdr:sp>
      <xdr:nvSpPr>
        <xdr:cNvPr id="5" name="Line 6"/>
        <xdr:cNvSpPr>
          <a:spLocks/>
        </xdr:cNvSpPr>
      </xdr:nvSpPr>
      <xdr:spPr>
        <a:xfrm flipH="1" flipV="1">
          <a:off x="447675" y="9429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38100</xdr:rowOff>
    </xdr:from>
    <xdr:to>
      <xdr:col>6</xdr:col>
      <xdr:colOff>609600</xdr:colOff>
      <xdr:row>65</xdr:row>
      <xdr:rowOff>0</xdr:rowOff>
    </xdr:to>
    <xdr:graphicFrame>
      <xdr:nvGraphicFramePr>
        <xdr:cNvPr id="6" name="Chart 14"/>
        <xdr:cNvGraphicFramePr/>
      </xdr:nvGraphicFramePr>
      <xdr:xfrm>
        <a:off x="57150" y="6677025"/>
        <a:ext cx="5248275" cy="3848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9525</xdr:rowOff>
    </xdr:from>
    <xdr:to>
      <xdr:col>8</xdr:col>
      <xdr:colOff>361950</xdr:colOff>
      <xdr:row>43</xdr:row>
      <xdr:rowOff>57150</xdr:rowOff>
    </xdr:to>
    <xdr:sp>
      <xdr:nvSpPr>
        <xdr:cNvPr id="1" name="TextBox 1"/>
        <xdr:cNvSpPr txBox="1">
          <a:spLocks noChangeArrowheads="1"/>
        </xdr:cNvSpPr>
      </xdr:nvSpPr>
      <xdr:spPr>
        <a:xfrm>
          <a:off x="76200" y="4648200"/>
          <a:ext cx="5248275" cy="2990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Present day altimeters follow the “Equation of State” and the 1956 U.S. standard assumption. On August 23, 1945 in document AN-T-81, the Army-Navy published the equation that relates air pressure to altitude. That equation follows:
Pa = Po (1 - 6.87535*10-6Hc)^5.2561
where Pa is the air pressure at altitude Hc at a given sea level pressure P0. 
You can determine the air pressure for any altitude using the above equation. For example: suppose you want to know the air pressure at 20,000 ft when the pressure at sea level is standard, 29.92 inches of mercury. Using the equation can be tricky. You also need a scientific calculator.
Begin inside the parentheses. Push 1 and subtract 6.87535 exponent -6 (scientific notation) times the altitude (20,000). When you get the result, use the yx key to raise it to the exponent, 5.2561. Multiply the result by standard air pressure at sea level, 29.92 inches Hg. The product should be 13.74 inches Hg which is the air pressure at 20,000 ft.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utoperformanceengineering.com/html/fuelpump.html"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2:O62"/>
  <sheetViews>
    <sheetView workbookViewId="0" topLeftCell="A22">
      <selection activeCell="K13" sqref="K13"/>
    </sheetView>
  </sheetViews>
  <sheetFormatPr defaultColWidth="9.140625" defaultRowHeight="12.75"/>
  <cols>
    <col min="1" max="2" width="9.140625" style="7" customWidth="1"/>
    <col min="3" max="5" width="5.00390625" style="8" bestFit="1" customWidth="1"/>
    <col min="6" max="7" width="5.57421875" style="8" bestFit="1" customWidth="1"/>
    <col min="8" max="8" width="12.28125" style="8" bestFit="1" customWidth="1"/>
    <col min="9" max="9" width="5.00390625" style="7" customWidth="1"/>
    <col min="10" max="10" width="24.00390625" style="9" customWidth="1"/>
    <col min="11" max="11" width="6.7109375" style="0" customWidth="1"/>
    <col min="13" max="13" width="16.00390625" style="0" bestFit="1" customWidth="1"/>
    <col min="14" max="14" width="5.8515625" style="0" customWidth="1"/>
  </cols>
  <sheetData>
    <row r="1" ht="12.75"/>
    <row r="2" spans="1:8" ht="12.75">
      <c r="A2" s="113" t="s">
        <v>125</v>
      </c>
      <c r="B2" s="113"/>
      <c r="C2" s="111" t="s">
        <v>127</v>
      </c>
      <c r="D2" s="111"/>
      <c r="E2" s="111"/>
      <c r="F2" s="111"/>
      <c r="G2" s="112"/>
      <c r="H2" s="4" t="s">
        <v>144</v>
      </c>
    </row>
    <row r="3" spans="1:10" s="3" customFormat="1" ht="12.75">
      <c r="A3" s="5" t="s">
        <v>107</v>
      </c>
      <c r="B3" s="11" t="s">
        <v>108</v>
      </c>
      <c r="C3" s="4" t="s">
        <v>109</v>
      </c>
      <c r="D3" s="4" t="s">
        <v>110</v>
      </c>
      <c r="E3" s="4" t="s">
        <v>111</v>
      </c>
      <c r="F3" s="4" t="s">
        <v>126</v>
      </c>
      <c r="G3" s="15" t="s">
        <v>112</v>
      </c>
      <c r="H3" s="11" t="s">
        <v>145</v>
      </c>
      <c r="I3" s="9"/>
      <c r="J3" s="9"/>
    </row>
    <row r="4" spans="1:8" ht="12.75">
      <c r="A4" s="13">
        <v>10</v>
      </c>
      <c r="B4" s="6">
        <f>0.20588235+10.48*A4</f>
        <v>105.00588235000001</v>
      </c>
      <c r="C4" s="6">
        <f aca="true" t="shared" si="0" ref="C4:C35">(A4/$K$28)*4</f>
        <v>80</v>
      </c>
      <c r="D4" s="6">
        <f>C4*1.5</f>
        <v>120</v>
      </c>
      <c r="E4" s="6">
        <f>C4*2</f>
        <v>160</v>
      </c>
      <c r="F4" s="6">
        <f>C4*(10/4)</f>
        <v>200</v>
      </c>
      <c r="G4" s="6">
        <f>C4*3</f>
        <v>240</v>
      </c>
      <c r="H4" s="6">
        <f aca="true" t="shared" si="1" ref="H4:H35">A4*(SQRT((40+($J$19-$K$11))/40))</f>
        <v>12.24744871391589</v>
      </c>
    </row>
    <row r="5" spans="1:8" ht="12.75">
      <c r="A5" s="13">
        <v>12</v>
      </c>
      <c r="B5" s="6">
        <f aca="true" t="shared" si="2" ref="B5:B62">0.20588235+10.48*A5</f>
        <v>125.96588235</v>
      </c>
      <c r="C5" s="6">
        <f t="shared" si="0"/>
        <v>96</v>
      </c>
      <c r="D5" s="6">
        <f aca="true" t="shared" si="3" ref="D5:D62">C5*1.5</f>
        <v>144</v>
      </c>
      <c r="E5" s="6">
        <f aca="true" t="shared" si="4" ref="E5:E52">C5*2</f>
        <v>192</v>
      </c>
      <c r="F5" s="6">
        <f aca="true" t="shared" si="5" ref="F5:F62">C5*(10/4)</f>
        <v>240</v>
      </c>
      <c r="G5" s="6">
        <f aca="true" t="shared" si="6" ref="G5:G52">C5*3</f>
        <v>288</v>
      </c>
      <c r="H5" s="6">
        <f t="shared" si="1"/>
        <v>14.696938456699067</v>
      </c>
    </row>
    <row r="6" spans="1:8" ht="12.75">
      <c r="A6" s="13">
        <v>13</v>
      </c>
      <c r="B6" s="6">
        <f t="shared" si="2"/>
        <v>136.44588235</v>
      </c>
      <c r="C6" s="6">
        <f t="shared" si="0"/>
        <v>104</v>
      </c>
      <c r="D6" s="6">
        <f t="shared" si="3"/>
        <v>156</v>
      </c>
      <c r="E6" s="6">
        <f>C6*2</f>
        <v>208</v>
      </c>
      <c r="F6" s="6">
        <f t="shared" si="5"/>
        <v>260</v>
      </c>
      <c r="G6" s="6">
        <f>C6*3</f>
        <v>312</v>
      </c>
      <c r="H6" s="6">
        <f t="shared" si="1"/>
        <v>15.921683328090657</v>
      </c>
    </row>
    <row r="7" spans="1:8" ht="12.75">
      <c r="A7" s="13">
        <v>14</v>
      </c>
      <c r="B7" s="6">
        <f t="shared" si="2"/>
        <v>146.92588235</v>
      </c>
      <c r="C7" s="6">
        <f t="shared" si="0"/>
        <v>112</v>
      </c>
      <c r="D7" s="6">
        <f t="shared" si="3"/>
        <v>168</v>
      </c>
      <c r="E7" s="6">
        <f t="shared" si="4"/>
        <v>224</v>
      </c>
      <c r="F7" s="6">
        <f t="shared" si="5"/>
        <v>280</v>
      </c>
      <c r="G7" s="6">
        <f t="shared" si="6"/>
        <v>336</v>
      </c>
      <c r="H7" s="6">
        <f t="shared" si="1"/>
        <v>17.146428199482244</v>
      </c>
    </row>
    <row r="8" spans="1:15" ht="12.75">
      <c r="A8" s="13">
        <v>16</v>
      </c>
      <c r="B8" s="6">
        <f t="shared" si="2"/>
        <v>167.88588235</v>
      </c>
      <c r="C8" s="6">
        <f t="shared" si="0"/>
        <v>128</v>
      </c>
      <c r="D8" s="6">
        <f t="shared" si="3"/>
        <v>192</v>
      </c>
      <c r="E8" s="6">
        <f t="shared" si="4"/>
        <v>256</v>
      </c>
      <c r="F8" s="6">
        <f t="shared" si="5"/>
        <v>320</v>
      </c>
      <c r="G8" s="6">
        <f t="shared" si="6"/>
        <v>384</v>
      </c>
      <c r="H8" s="6">
        <f t="shared" si="1"/>
        <v>19.595917942265423</v>
      </c>
      <c r="J8" s="11" t="s">
        <v>136</v>
      </c>
      <c r="K8" s="11"/>
      <c r="L8" s="11"/>
      <c r="M8" s="11" t="s">
        <v>84</v>
      </c>
      <c r="N8" s="11"/>
      <c r="O8" s="11"/>
    </row>
    <row r="9" spans="1:15" ht="12.75">
      <c r="A9" s="13">
        <v>17</v>
      </c>
      <c r="B9" s="6">
        <f t="shared" si="2"/>
        <v>178.36588235</v>
      </c>
      <c r="C9" s="6">
        <f t="shared" si="0"/>
        <v>136</v>
      </c>
      <c r="D9" s="6">
        <f t="shared" si="3"/>
        <v>204</v>
      </c>
      <c r="E9" s="6">
        <f>C9*2</f>
        <v>272</v>
      </c>
      <c r="F9" s="6">
        <f t="shared" si="5"/>
        <v>340</v>
      </c>
      <c r="G9" s="6">
        <f>C9*3</f>
        <v>408</v>
      </c>
      <c r="H9" s="6">
        <f t="shared" si="1"/>
        <v>20.820662813657012</v>
      </c>
      <c r="J9" s="11" t="s">
        <v>138</v>
      </c>
      <c r="K9" s="14">
        <v>28.8</v>
      </c>
      <c r="L9" s="10" t="s">
        <v>107</v>
      </c>
      <c r="M9" s="10" t="s">
        <v>79</v>
      </c>
      <c r="N9" s="14">
        <v>28.8</v>
      </c>
      <c r="O9" s="10" t="s">
        <v>107</v>
      </c>
    </row>
    <row r="10" spans="1:15" ht="12.75">
      <c r="A10" s="13">
        <v>18</v>
      </c>
      <c r="B10" s="6">
        <f t="shared" si="2"/>
        <v>188.84588235</v>
      </c>
      <c r="C10" s="6">
        <f t="shared" si="0"/>
        <v>144</v>
      </c>
      <c r="D10" s="6">
        <f t="shared" si="3"/>
        <v>216</v>
      </c>
      <c r="E10" s="6">
        <f t="shared" si="4"/>
        <v>288</v>
      </c>
      <c r="F10" s="6">
        <f t="shared" si="5"/>
        <v>360</v>
      </c>
      <c r="G10" s="6">
        <f t="shared" si="6"/>
        <v>432</v>
      </c>
      <c r="H10" s="6">
        <f t="shared" si="1"/>
        <v>22.045407685048602</v>
      </c>
      <c r="J10" s="11" t="s">
        <v>139</v>
      </c>
      <c r="K10" s="12">
        <f>K9*(SQRT((40+($J$19-$K$11))/40))</f>
        <v>35.272652296077766</v>
      </c>
      <c r="L10" s="10" t="s">
        <v>107</v>
      </c>
      <c r="M10" s="10" t="s">
        <v>80</v>
      </c>
      <c r="N10" s="14">
        <v>50</v>
      </c>
      <c r="O10" s="10" t="s">
        <v>82</v>
      </c>
    </row>
    <row r="11" spans="1:15" ht="12.75">
      <c r="A11" s="13">
        <v>19</v>
      </c>
      <c r="B11" s="6">
        <f t="shared" si="2"/>
        <v>199.32588235</v>
      </c>
      <c r="C11" s="6">
        <f t="shared" si="0"/>
        <v>152</v>
      </c>
      <c r="D11" s="6">
        <f t="shared" si="3"/>
        <v>228</v>
      </c>
      <c r="E11" s="6">
        <f>C11*2</f>
        <v>304</v>
      </c>
      <c r="F11" s="6">
        <f t="shared" si="5"/>
        <v>380</v>
      </c>
      <c r="G11" s="6">
        <f>C11*3</f>
        <v>456</v>
      </c>
      <c r="H11" s="6">
        <f t="shared" si="1"/>
        <v>23.27015255644019</v>
      </c>
      <c r="J11" s="11" t="s">
        <v>129</v>
      </c>
      <c r="K11" s="14">
        <v>6</v>
      </c>
      <c r="L11" s="10" t="s">
        <v>132</v>
      </c>
      <c r="M11" s="10" t="s">
        <v>83</v>
      </c>
      <c r="N11" s="14">
        <v>75</v>
      </c>
      <c r="O11" s="10" t="s">
        <v>82</v>
      </c>
    </row>
    <row r="12" spans="1:15" ht="12.75">
      <c r="A12" s="13">
        <v>20</v>
      </c>
      <c r="B12" s="6">
        <f t="shared" si="2"/>
        <v>209.80588235000002</v>
      </c>
      <c r="C12" s="6">
        <f t="shared" si="0"/>
        <v>160</v>
      </c>
      <c r="D12" s="6">
        <f t="shared" si="3"/>
        <v>240</v>
      </c>
      <c r="E12" s="6">
        <f t="shared" si="4"/>
        <v>320</v>
      </c>
      <c r="F12" s="6">
        <f t="shared" si="5"/>
        <v>400</v>
      </c>
      <c r="G12" s="6">
        <f t="shared" si="6"/>
        <v>480</v>
      </c>
      <c r="H12" s="6">
        <f t="shared" si="1"/>
        <v>24.49489742783178</v>
      </c>
      <c r="J12" s="11" t="s">
        <v>140</v>
      </c>
      <c r="K12" s="14">
        <v>11</v>
      </c>
      <c r="L12" s="10" t="s">
        <v>133</v>
      </c>
      <c r="M12" s="10" t="s">
        <v>81</v>
      </c>
      <c r="N12" s="12">
        <f>IF(N11&gt;=N10,N9+SQRT(ABS(N11-N10)),N9-SQRT(ABS(N11-N10)))</f>
        <v>33.8</v>
      </c>
      <c r="O12" s="10" t="s">
        <v>107</v>
      </c>
    </row>
    <row r="13" spans="1:15" ht="12.75">
      <c r="A13" s="13">
        <v>22</v>
      </c>
      <c r="B13" s="6">
        <f t="shared" si="2"/>
        <v>230.76588235</v>
      </c>
      <c r="C13" s="6">
        <f t="shared" si="0"/>
        <v>176</v>
      </c>
      <c r="D13" s="6">
        <f t="shared" si="3"/>
        <v>264</v>
      </c>
      <c r="E13" s="6">
        <f t="shared" si="4"/>
        <v>352</v>
      </c>
      <c r="F13" s="6">
        <f t="shared" si="5"/>
        <v>440</v>
      </c>
      <c r="G13" s="6">
        <f t="shared" si="6"/>
        <v>528</v>
      </c>
      <c r="H13" s="6">
        <f t="shared" si="1"/>
        <v>26.944387170614956</v>
      </c>
      <c r="J13" s="11" t="s">
        <v>135</v>
      </c>
      <c r="K13" s="14">
        <v>4</v>
      </c>
      <c r="L13" s="10"/>
      <c r="M13" s="10" t="s">
        <v>135</v>
      </c>
      <c r="N13" s="14">
        <v>4</v>
      </c>
      <c r="O13" s="10"/>
    </row>
    <row r="14" spans="1:15" ht="12.75">
      <c r="A14" s="13">
        <v>24</v>
      </c>
      <c r="B14" s="6">
        <f t="shared" si="2"/>
        <v>251.72588235</v>
      </c>
      <c r="C14" s="6">
        <f t="shared" si="0"/>
        <v>192</v>
      </c>
      <c r="D14" s="6">
        <f t="shared" si="3"/>
        <v>288</v>
      </c>
      <c r="E14" s="6">
        <f t="shared" si="4"/>
        <v>384</v>
      </c>
      <c r="F14" s="6">
        <f t="shared" si="5"/>
        <v>480</v>
      </c>
      <c r="G14" s="6">
        <f t="shared" si="6"/>
        <v>576</v>
      </c>
      <c r="H14" s="6">
        <f t="shared" si="1"/>
        <v>29.393876913398135</v>
      </c>
      <c r="J14" s="11" t="s">
        <v>141</v>
      </c>
      <c r="K14" s="12">
        <f>(K10/K28)*K13</f>
        <v>282.1812183686221</v>
      </c>
      <c r="L14" s="10" t="s">
        <v>973</v>
      </c>
      <c r="M14" s="10" t="s">
        <v>141</v>
      </c>
      <c r="N14" s="12">
        <f>(N12/K28)*N13</f>
        <v>270.4</v>
      </c>
      <c r="O14" s="10" t="s">
        <v>973</v>
      </c>
    </row>
    <row r="15" spans="1:15" ht="12.75">
      <c r="A15" s="13">
        <v>26</v>
      </c>
      <c r="B15" s="6">
        <f t="shared" si="2"/>
        <v>272.68588235000004</v>
      </c>
      <c r="C15" s="6">
        <f t="shared" si="0"/>
        <v>208</v>
      </c>
      <c r="D15" s="6">
        <f t="shared" si="3"/>
        <v>312</v>
      </c>
      <c r="E15" s="6">
        <f t="shared" si="4"/>
        <v>416</v>
      </c>
      <c r="F15" s="6">
        <f t="shared" si="5"/>
        <v>520</v>
      </c>
      <c r="G15" s="6">
        <f t="shared" si="6"/>
        <v>624</v>
      </c>
      <c r="H15" s="6">
        <f t="shared" si="1"/>
        <v>31.843366656181313</v>
      </c>
      <c r="J15" s="11" t="s">
        <v>142</v>
      </c>
      <c r="K15" s="12">
        <f>K18+J19</f>
        <v>76</v>
      </c>
      <c r="L15" s="10" t="s">
        <v>132</v>
      </c>
      <c r="M15" s="10"/>
      <c r="N15" s="10"/>
      <c r="O15" s="10"/>
    </row>
    <row r="16" spans="1:15" ht="12.75">
      <c r="A16" s="13">
        <v>28</v>
      </c>
      <c r="B16" s="6">
        <f t="shared" si="2"/>
        <v>293.64588235</v>
      </c>
      <c r="C16" s="6">
        <f t="shared" si="0"/>
        <v>224</v>
      </c>
      <c r="D16" s="6">
        <f t="shared" si="3"/>
        <v>336</v>
      </c>
      <c r="E16" s="6">
        <f t="shared" si="4"/>
        <v>448</v>
      </c>
      <c r="F16" s="6">
        <f t="shared" si="5"/>
        <v>560</v>
      </c>
      <c r="G16" s="6">
        <f t="shared" si="6"/>
        <v>672</v>
      </c>
      <c r="H16" s="6">
        <f t="shared" si="1"/>
        <v>34.29285639896449</v>
      </c>
      <c r="J16" s="11" t="s">
        <v>143</v>
      </c>
      <c r="K16" s="12">
        <f>(((K10*K13)/2.204)/0.725)+(1.5*(K15-40))</f>
        <v>142.29752123681774</v>
      </c>
      <c r="L16" s="10" t="s">
        <v>137</v>
      </c>
      <c r="M16" s="10" t="s">
        <v>87</v>
      </c>
      <c r="N16" s="12">
        <f>(((N12*N13)/2.204)/0.725)+(1.5*(N11-40))</f>
        <v>137.11105200575753</v>
      </c>
      <c r="O16" s="10" t="s">
        <v>137</v>
      </c>
    </row>
    <row r="17" spans="1:12" ht="12.75">
      <c r="A17" s="13">
        <v>30</v>
      </c>
      <c r="B17" s="6">
        <f t="shared" si="2"/>
        <v>314.60588235000006</v>
      </c>
      <c r="C17" s="6">
        <f t="shared" si="0"/>
        <v>240</v>
      </c>
      <c r="D17" s="6">
        <f t="shared" si="3"/>
        <v>360</v>
      </c>
      <c r="E17" s="6">
        <f t="shared" si="4"/>
        <v>480</v>
      </c>
      <c r="F17" s="6">
        <f t="shared" si="5"/>
        <v>600</v>
      </c>
      <c r="G17" s="6">
        <f t="shared" si="6"/>
        <v>720</v>
      </c>
      <c r="H17" s="6">
        <f t="shared" si="1"/>
        <v>36.74234614174767</v>
      </c>
      <c r="J17" s="4" t="s">
        <v>131</v>
      </c>
      <c r="K17" s="10"/>
      <c r="L17" s="10"/>
    </row>
    <row r="18" spans="1:12" ht="12.75">
      <c r="A18" s="13">
        <v>32</v>
      </c>
      <c r="B18" s="6">
        <f t="shared" si="2"/>
        <v>335.56588235000004</v>
      </c>
      <c r="C18" s="6">
        <f t="shared" si="0"/>
        <v>256</v>
      </c>
      <c r="D18" s="6">
        <f t="shared" si="3"/>
        <v>384</v>
      </c>
      <c r="E18" s="6">
        <f t="shared" si="4"/>
        <v>512</v>
      </c>
      <c r="F18" s="6">
        <f t="shared" si="5"/>
        <v>640</v>
      </c>
      <c r="G18" s="6">
        <f t="shared" si="6"/>
        <v>768</v>
      </c>
      <c r="H18" s="6">
        <f t="shared" si="1"/>
        <v>39.191835884530846</v>
      </c>
      <c r="J18" s="4" t="s">
        <v>1279</v>
      </c>
      <c r="K18" s="14">
        <v>50</v>
      </c>
      <c r="L18" s="10" t="s">
        <v>132</v>
      </c>
    </row>
    <row r="19" spans="1:12" ht="12.75">
      <c r="A19" s="13">
        <v>34</v>
      </c>
      <c r="B19" s="6">
        <f t="shared" si="2"/>
        <v>356.52588235</v>
      </c>
      <c r="C19" s="6">
        <f t="shared" si="0"/>
        <v>272</v>
      </c>
      <c r="D19" s="6">
        <f t="shared" si="3"/>
        <v>408</v>
      </c>
      <c r="E19" s="6">
        <f t="shared" si="4"/>
        <v>544</v>
      </c>
      <c r="F19" s="6">
        <f t="shared" si="5"/>
        <v>680</v>
      </c>
      <c r="G19" s="6">
        <f t="shared" si="6"/>
        <v>816</v>
      </c>
      <c r="H19" s="6">
        <f t="shared" si="1"/>
        <v>41.641325627314025</v>
      </c>
      <c r="J19" s="4">
        <f>IF(K11*K12-40&gt;0,K11*K12-40,0)</f>
        <v>26</v>
      </c>
      <c r="K19" s="10"/>
      <c r="L19" s="10"/>
    </row>
    <row r="20" spans="1:8" ht="12.75">
      <c r="A20" s="13">
        <v>36</v>
      </c>
      <c r="B20" s="6">
        <f t="shared" si="2"/>
        <v>377.48588235000005</v>
      </c>
      <c r="C20" s="6">
        <f t="shared" si="0"/>
        <v>288</v>
      </c>
      <c r="D20" s="6">
        <f t="shared" si="3"/>
        <v>432</v>
      </c>
      <c r="E20" s="6">
        <f t="shared" si="4"/>
        <v>576</v>
      </c>
      <c r="F20" s="6">
        <f t="shared" si="5"/>
        <v>720</v>
      </c>
      <c r="G20" s="6">
        <f t="shared" si="6"/>
        <v>864</v>
      </c>
      <c r="H20" s="6">
        <f t="shared" si="1"/>
        <v>44.090815370097204</v>
      </c>
    </row>
    <row r="21" spans="1:13" ht="12.75">
      <c r="A21" s="13">
        <v>38</v>
      </c>
      <c r="B21" s="6">
        <f t="shared" si="2"/>
        <v>398.44588235000003</v>
      </c>
      <c r="C21" s="6">
        <f t="shared" si="0"/>
        <v>304</v>
      </c>
      <c r="D21" s="6">
        <f t="shared" si="3"/>
        <v>456</v>
      </c>
      <c r="E21" s="6">
        <f t="shared" si="4"/>
        <v>608</v>
      </c>
      <c r="F21" s="6">
        <f t="shared" si="5"/>
        <v>760</v>
      </c>
      <c r="G21" s="6">
        <f t="shared" si="6"/>
        <v>912</v>
      </c>
      <c r="H21" s="6">
        <f t="shared" si="1"/>
        <v>46.54030511288038</v>
      </c>
      <c r="J21" s="108" t="s">
        <v>86</v>
      </c>
      <c r="K21" s="109"/>
      <c r="L21" s="110"/>
      <c r="M21" s="35" t="s">
        <v>980</v>
      </c>
    </row>
    <row r="22" spans="1:13" ht="12.75">
      <c r="A22" s="13">
        <v>40</v>
      </c>
      <c r="B22" s="6">
        <f t="shared" si="2"/>
        <v>419.40588235000007</v>
      </c>
      <c r="C22" s="6">
        <f t="shared" si="0"/>
        <v>320</v>
      </c>
      <c r="D22" s="6">
        <f t="shared" si="3"/>
        <v>480</v>
      </c>
      <c r="E22" s="6">
        <f t="shared" si="4"/>
        <v>640</v>
      </c>
      <c r="F22" s="6">
        <f t="shared" si="5"/>
        <v>800</v>
      </c>
      <c r="G22" s="6">
        <f t="shared" si="6"/>
        <v>960</v>
      </c>
      <c r="H22" s="6">
        <f t="shared" si="1"/>
        <v>48.98979485566356</v>
      </c>
      <c r="J22" s="34" t="s">
        <v>979</v>
      </c>
      <c r="K22" s="14">
        <v>300</v>
      </c>
      <c r="L22" s="10" t="s">
        <v>981</v>
      </c>
      <c r="M22" s="36">
        <f>K22*0.0022046/1.341</f>
        <v>0.49319910514541393</v>
      </c>
    </row>
    <row r="23" spans="1:8" ht="12.75">
      <c r="A23" s="13">
        <v>42</v>
      </c>
      <c r="B23" s="6">
        <f t="shared" si="2"/>
        <v>440.36588235000005</v>
      </c>
      <c r="C23" s="6">
        <f t="shared" si="0"/>
        <v>336</v>
      </c>
      <c r="D23" s="6">
        <f t="shared" si="3"/>
        <v>504</v>
      </c>
      <c r="E23" s="6">
        <f t="shared" si="4"/>
        <v>672</v>
      </c>
      <c r="F23" s="6">
        <f t="shared" si="5"/>
        <v>840</v>
      </c>
      <c r="G23" s="6">
        <f t="shared" si="6"/>
        <v>1008</v>
      </c>
      <c r="H23" s="6">
        <f t="shared" si="1"/>
        <v>51.43928459844673</v>
      </c>
    </row>
    <row r="24" spans="1:11" ht="12.75">
      <c r="A24" s="13">
        <v>44</v>
      </c>
      <c r="B24" s="6">
        <f t="shared" si="2"/>
        <v>461.32588235000003</v>
      </c>
      <c r="C24" s="6">
        <f t="shared" si="0"/>
        <v>352</v>
      </c>
      <c r="D24" s="6">
        <f t="shared" si="3"/>
        <v>528</v>
      </c>
      <c r="E24" s="6">
        <f t="shared" si="4"/>
        <v>704</v>
      </c>
      <c r="F24" s="6">
        <f t="shared" si="5"/>
        <v>880</v>
      </c>
      <c r="G24" s="6">
        <f t="shared" si="6"/>
        <v>1056</v>
      </c>
      <c r="H24" s="6">
        <f t="shared" si="1"/>
        <v>53.88877434122991</v>
      </c>
      <c r="J24" s="11" t="s">
        <v>987</v>
      </c>
      <c r="K24" s="37">
        <f>(-0.027*K25+0.7)*14.5/K26</f>
        <v>0.4415197841726618</v>
      </c>
    </row>
    <row r="25" spans="1:11" ht="12.75">
      <c r="A25" s="13">
        <v>46</v>
      </c>
      <c r="B25" s="6">
        <f t="shared" si="2"/>
        <v>482.28588235000007</v>
      </c>
      <c r="C25" s="6">
        <f t="shared" si="0"/>
        <v>368</v>
      </c>
      <c r="D25" s="6">
        <f t="shared" si="3"/>
        <v>552</v>
      </c>
      <c r="E25" s="6">
        <f t="shared" si="4"/>
        <v>736</v>
      </c>
      <c r="F25" s="6">
        <f t="shared" si="5"/>
        <v>920</v>
      </c>
      <c r="G25" s="6">
        <f t="shared" si="6"/>
        <v>1104</v>
      </c>
      <c r="H25" s="6">
        <f t="shared" si="1"/>
        <v>56.33826408401309</v>
      </c>
      <c r="J25" s="11" t="s">
        <v>988</v>
      </c>
      <c r="K25" s="14">
        <v>10.25</v>
      </c>
    </row>
    <row r="26" spans="1:11" ht="12.75">
      <c r="A26" s="13">
        <v>48</v>
      </c>
      <c r="B26" s="6">
        <f t="shared" si="2"/>
        <v>503.24588235000004</v>
      </c>
      <c r="C26" s="6">
        <f t="shared" si="0"/>
        <v>384</v>
      </c>
      <c r="D26" s="6">
        <f t="shared" si="3"/>
        <v>576</v>
      </c>
      <c r="E26" s="6">
        <f t="shared" si="4"/>
        <v>768</v>
      </c>
      <c r="F26" s="6">
        <f t="shared" si="5"/>
        <v>960</v>
      </c>
      <c r="G26" s="6">
        <f t="shared" si="6"/>
        <v>1152</v>
      </c>
      <c r="H26" s="6">
        <f t="shared" si="1"/>
        <v>58.78775382679627</v>
      </c>
      <c r="J26" s="11" t="s">
        <v>85</v>
      </c>
      <c r="K26" s="14">
        <v>13.9</v>
      </c>
    </row>
    <row r="27" spans="1:8" ht="12.75">
      <c r="A27" s="13">
        <v>50</v>
      </c>
      <c r="B27" s="6">
        <f t="shared" si="2"/>
        <v>524.20588235</v>
      </c>
      <c r="C27" s="6">
        <f t="shared" si="0"/>
        <v>400</v>
      </c>
      <c r="D27" s="6">
        <f t="shared" si="3"/>
        <v>600</v>
      </c>
      <c r="E27" s="6">
        <f t="shared" si="4"/>
        <v>800</v>
      </c>
      <c r="F27" s="6">
        <f t="shared" si="5"/>
        <v>1000</v>
      </c>
      <c r="G27" s="6">
        <f t="shared" si="6"/>
        <v>1200</v>
      </c>
      <c r="H27" s="6">
        <f t="shared" si="1"/>
        <v>61.23724356957945</v>
      </c>
    </row>
    <row r="28" spans="1:15" ht="12.75">
      <c r="A28" s="13">
        <v>52</v>
      </c>
      <c r="B28" s="6">
        <f t="shared" si="2"/>
        <v>545.1658823500001</v>
      </c>
      <c r="C28" s="6">
        <f t="shared" si="0"/>
        <v>416</v>
      </c>
      <c r="D28" s="6">
        <f t="shared" si="3"/>
        <v>624</v>
      </c>
      <c r="E28" s="6">
        <f t="shared" si="4"/>
        <v>832</v>
      </c>
      <c r="F28" s="6">
        <f t="shared" si="5"/>
        <v>1040</v>
      </c>
      <c r="G28" s="6">
        <f t="shared" si="6"/>
        <v>1248</v>
      </c>
      <c r="H28" s="6">
        <f t="shared" si="1"/>
        <v>63.68673331236263</v>
      </c>
      <c r="J28" s="11" t="s">
        <v>970</v>
      </c>
      <c r="K28" s="14">
        <v>0.5</v>
      </c>
      <c r="L28" s="10" t="s">
        <v>971</v>
      </c>
      <c r="M28" s="10" t="s">
        <v>88</v>
      </c>
      <c r="N28" s="14">
        <v>13.5</v>
      </c>
      <c r="O28" s="10" t="s">
        <v>133</v>
      </c>
    </row>
    <row r="29" spans="1:15" ht="12.75">
      <c r="A29" s="13">
        <v>54</v>
      </c>
      <c r="B29" s="6">
        <f t="shared" si="2"/>
        <v>566.1258823500001</v>
      </c>
      <c r="C29" s="6">
        <f t="shared" si="0"/>
        <v>432</v>
      </c>
      <c r="D29" s="6">
        <f t="shared" si="3"/>
        <v>648</v>
      </c>
      <c r="E29" s="6">
        <f t="shared" si="4"/>
        <v>864</v>
      </c>
      <c r="F29" s="6">
        <f t="shared" si="5"/>
        <v>1080</v>
      </c>
      <c r="G29" s="6">
        <f t="shared" si="6"/>
        <v>1296</v>
      </c>
      <c r="H29" s="6">
        <f t="shared" si="1"/>
        <v>66.1362230551458</v>
      </c>
      <c r="J29" s="11" t="s">
        <v>974</v>
      </c>
      <c r="K29" s="14">
        <v>12</v>
      </c>
      <c r="L29" s="10"/>
      <c r="M29" s="10" t="s">
        <v>89</v>
      </c>
      <c r="N29" s="10">
        <f>K28*K33*N28</f>
        <v>2554.74</v>
      </c>
      <c r="O29" s="10" t="s">
        <v>107</v>
      </c>
    </row>
    <row r="30" spans="1:15" ht="12.75">
      <c r="A30" s="13">
        <v>56</v>
      </c>
      <c r="B30" s="6">
        <f t="shared" si="2"/>
        <v>587.08588235</v>
      </c>
      <c r="C30" s="6">
        <f t="shared" si="0"/>
        <v>448</v>
      </c>
      <c r="D30" s="6">
        <f t="shared" si="3"/>
        <v>672</v>
      </c>
      <c r="E30" s="6">
        <f t="shared" si="4"/>
        <v>896</v>
      </c>
      <c r="F30" s="6">
        <f t="shared" si="5"/>
        <v>1120</v>
      </c>
      <c r="G30" s="6">
        <f t="shared" si="6"/>
        <v>1344</v>
      </c>
      <c r="H30" s="6">
        <f t="shared" si="1"/>
        <v>68.58571279792898</v>
      </c>
      <c r="J30" s="11" t="s">
        <v>138</v>
      </c>
      <c r="K30" s="14">
        <v>19</v>
      </c>
      <c r="L30" s="10" t="s">
        <v>107</v>
      </c>
      <c r="M30" s="10" t="s">
        <v>89</v>
      </c>
      <c r="N30" s="10">
        <f>N29/60</f>
        <v>42.57899999999999</v>
      </c>
      <c r="O30" s="10" t="s">
        <v>794</v>
      </c>
    </row>
    <row r="31" spans="1:15" ht="12.75">
      <c r="A31" s="13">
        <v>58</v>
      </c>
      <c r="B31" s="6">
        <f t="shared" si="2"/>
        <v>608.04588235</v>
      </c>
      <c r="C31" s="6">
        <f t="shared" si="0"/>
        <v>464</v>
      </c>
      <c r="D31" s="6">
        <f t="shared" si="3"/>
        <v>696</v>
      </c>
      <c r="E31" s="6">
        <f t="shared" si="4"/>
        <v>928</v>
      </c>
      <c r="F31" s="6">
        <f t="shared" si="5"/>
        <v>1160</v>
      </c>
      <c r="G31" s="6">
        <f t="shared" si="6"/>
        <v>1392</v>
      </c>
      <c r="H31" s="6">
        <f t="shared" si="1"/>
        <v>71.03520254071216</v>
      </c>
      <c r="J31" s="11" t="s">
        <v>972</v>
      </c>
      <c r="K31" s="12">
        <f>(K30/K28)*K29</f>
        <v>456</v>
      </c>
      <c r="L31" s="10" t="s">
        <v>973</v>
      </c>
      <c r="M31" s="10" t="s">
        <v>89</v>
      </c>
      <c r="N31" s="10">
        <f>(N29/(0.0735))/60</f>
        <v>579.3061224489795</v>
      </c>
      <c r="O31" s="10" t="s">
        <v>90</v>
      </c>
    </row>
    <row r="32" spans="1:15" ht="12.75">
      <c r="A32" s="13">
        <v>60</v>
      </c>
      <c r="B32" s="6">
        <f t="shared" si="2"/>
        <v>629.0058823500001</v>
      </c>
      <c r="C32" s="6">
        <f t="shared" si="0"/>
        <v>480</v>
      </c>
      <c r="D32" s="6">
        <f t="shared" si="3"/>
        <v>720</v>
      </c>
      <c r="E32" s="6">
        <f t="shared" si="4"/>
        <v>960</v>
      </c>
      <c r="F32" s="6">
        <f t="shared" si="5"/>
        <v>1200</v>
      </c>
      <c r="G32" s="6">
        <f t="shared" si="6"/>
        <v>1440</v>
      </c>
      <c r="H32" s="6">
        <f t="shared" si="1"/>
        <v>73.48469228349533</v>
      </c>
      <c r="J32" s="11" t="s">
        <v>975</v>
      </c>
      <c r="K32" s="32">
        <v>0.83</v>
      </c>
      <c r="L32" s="10"/>
      <c r="M32" s="10" t="s">
        <v>160</v>
      </c>
      <c r="N32" s="14">
        <v>366</v>
      </c>
      <c r="O32" s="10" t="s">
        <v>1099</v>
      </c>
    </row>
    <row r="33" spans="1:15" ht="12.75">
      <c r="A33" s="13">
        <v>62</v>
      </c>
      <c r="B33" s="6">
        <f t="shared" si="2"/>
        <v>649.96588235</v>
      </c>
      <c r="C33" s="6">
        <f t="shared" si="0"/>
        <v>496</v>
      </c>
      <c r="D33" s="6">
        <f t="shared" si="3"/>
        <v>744</v>
      </c>
      <c r="E33" s="6">
        <f t="shared" si="4"/>
        <v>992</v>
      </c>
      <c r="F33" s="6">
        <f t="shared" si="5"/>
        <v>1240</v>
      </c>
      <c r="G33" s="6">
        <f t="shared" si="6"/>
        <v>1488</v>
      </c>
      <c r="H33" s="6">
        <f t="shared" si="1"/>
        <v>75.93418202627852</v>
      </c>
      <c r="J33" s="11" t="s">
        <v>976</v>
      </c>
      <c r="K33" s="12">
        <f>K31*K32</f>
        <v>378.47999999999996</v>
      </c>
      <c r="L33" s="10" t="s">
        <v>973</v>
      </c>
      <c r="M33" s="10" t="s">
        <v>651</v>
      </c>
      <c r="N33" s="14">
        <v>6800</v>
      </c>
      <c r="O33" s="10"/>
    </row>
    <row r="34" spans="1:15" ht="12.75">
      <c r="A34" s="13">
        <v>64</v>
      </c>
      <c r="B34" s="6">
        <f t="shared" si="2"/>
        <v>670.92588235</v>
      </c>
      <c r="C34" s="6">
        <f t="shared" si="0"/>
        <v>512</v>
      </c>
      <c r="D34" s="6">
        <f t="shared" si="3"/>
        <v>768</v>
      </c>
      <c r="E34" s="6">
        <f t="shared" si="4"/>
        <v>1024</v>
      </c>
      <c r="F34" s="6">
        <f t="shared" si="5"/>
        <v>1280</v>
      </c>
      <c r="G34" s="6">
        <f t="shared" si="6"/>
        <v>1536</v>
      </c>
      <c r="H34" s="6">
        <f t="shared" si="1"/>
        <v>78.38367176906169</v>
      </c>
      <c r="M34" s="10" t="s">
        <v>1100</v>
      </c>
      <c r="N34" s="53">
        <f>(N31*3456)/(N32*N33)</f>
        <v>0.8044366599098655</v>
      </c>
      <c r="O34" s="10"/>
    </row>
    <row r="35" spans="1:15" ht="12.75">
      <c r="A35" s="13">
        <v>66</v>
      </c>
      <c r="B35" s="6">
        <f t="shared" si="2"/>
        <v>691.8858823500001</v>
      </c>
      <c r="C35" s="6">
        <f t="shared" si="0"/>
        <v>528</v>
      </c>
      <c r="D35" s="6">
        <f t="shared" si="3"/>
        <v>792</v>
      </c>
      <c r="E35" s="6">
        <f t="shared" si="4"/>
        <v>1056</v>
      </c>
      <c r="F35" s="6">
        <f t="shared" si="5"/>
        <v>1320</v>
      </c>
      <c r="G35" s="6">
        <f t="shared" si="6"/>
        <v>1584</v>
      </c>
      <c r="H35" s="6">
        <f t="shared" si="1"/>
        <v>80.83316151184486</v>
      </c>
      <c r="M35" s="10" t="s">
        <v>938</v>
      </c>
      <c r="N35" s="10">
        <f>N28/14.64</f>
        <v>0.9221311475409836</v>
      </c>
      <c r="O35" s="10"/>
    </row>
    <row r="36" spans="1:8" ht="12.75">
      <c r="A36" s="13">
        <v>68</v>
      </c>
      <c r="B36" s="6">
        <f t="shared" si="2"/>
        <v>712.84588235</v>
      </c>
      <c r="C36" s="6">
        <f aca="true" t="shared" si="7" ref="C36:C62">(A36/$K$28)*4</f>
        <v>544</v>
      </c>
      <c r="D36" s="6">
        <f t="shared" si="3"/>
        <v>816</v>
      </c>
      <c r="E36" s="6">
        <f t="shared" si="4"/>
        <v>1088</v>
      </c>
      <c r="F36" s="6">
        <f t="shared" si="5"/>
        <v>1360</v>
      </c>
      <c r="G36" s="6">
        <f t="shared" si="6"/>
        <v>1632</v>
      </c>
      <c r="H36" s="6">
        <f aca="true" t="shared" si="8" ref="H36:H62">A36*(SQRT((40+($J$19-$K$11))/40))</f>
        <v>83.28265125462805</v>
      </c>
    </row>
    <row r="37" spans="1:8" ht="12.75">
      <c r="A37" s="13">
        <v>70</v>
      </c>
      <c r="B37" s="6">
        <f t="shared" si="2"/>
        <v>733.80588235</v>
      </c>
      <c r="C37" s="6">
        <f t="shared" si="7"/>
        <v>560</v>
      </c>
      <c r="D37" s="6">
        <f t="shared" si="3"/>
        <v>840</v>
      </c>
      <c r="E37" s="6">
        <f t="shared" si="4"/>
        <v>1120</v>
      </c>
      <c r="F37" s="6">
        <f t="shared" si="5"/>
        <v>1400</v>
      </c>
      <c r="G37" s="6">
        <f t="shared" si="6"/>
        <v>1680</v>
      </c>
      <c r="H37" s="6">
        <f t="shared" si="8"/>
        <v>85.73214099741122</v>
      </c>
    </row>
    <row r="38" spans="1:11" ht="12.75">
      <c r="A38" s="13">
        <v>72</v>
      </c>
      <c r="B38" s="6">
        <f t="shared" si="2"/>
        <v>754.7658823500001</v>
      </c>
      <c r="C38" s="6">
        <f t="shared" si="7"/>
        <v>576</v>
      </c>
      <c r="D38" s="6">
        <f t="shared" si="3"/>
        <v>864</v>
      </c>
      <c r="E38" s="6">
        <f t="shared" si="4"/>
        <v>1152</v>
      </c>
      <c r="F38" s="6">
        <f t="shared" si="5"/>
        <v>1440</v>
      </c>
      <c r="G38" s="6">
        <f t="shared" si="6"/>
        <v>1728</v>
      </c>
      <c r="H38" s="6">
        <f t="shared" si="8"/>
        <v>88.18163074019441</v>
      </c>
      <c r="J38" s="11" t="s">
        <v>982</v>
      </c>
      <c r="K38" s="14">
        <v>270</v>
      </c>
    </row>
    <row r="39" spans="1:11" ht="12.75">
      <c r="A39" s="13">
        <v>74</v>
      </c>
      <c r="B39" s="6">
        <f t="shared" si="2"/>
        <v>775.72588235</v>
      </c>
      <c r="C39" s="6">
        <f t="shared" si="7"/>
        <v>592</v>
      </c>
      <c r="D39" s="6">
        <f t="shared" si="3"/>
        <v>888</v>
      </c>
      <c r="E39" s="6">
        <f t="shared" si="4"/>
        <v>1184</v>
      </c>
      <c r="F39" s="6">
        <f t="shared" si="5"/>
        <v>1480</v>
      </c>
      <c r="G39" s="6">
        <f t="shared" si="6"/>
        <v>1776</v>
      </c>
      <c r="H39" s="6">
        <f t="shared" si="8"/>
        <v>90.63112048297758</v>
      </c>
      <c r="J39" s="11" t="s">
        <v>983</v>
      </c>
      <c r="K39" s="10">
        <f>K38*(0.0022046*60)</f>
        <v>35.71452</v>
      </c>
    </row>
    <row r="40" spans="1:8" ht="12.75">
      <c r="A40" s="13">
        <v>76</v>
      </c>
      <c r="B40" s="6">
        <f t="shared" si="2"/>
        <v>796.68588235</v>
      </c>
      <c r="C40" s="6">
        <f t="shared" si="7"/>
        <v>608</v>
      </c>
      <c r="D40" s="6">
        <f t="shared" si="3"/>
        <v>912</v>
      </c>
      <c r="E40" s="6">
        <f t="shared" si="4"/>
        <v>1216</v>
      </c>
      <c r="F40" s="6">
        <f t="shared" si="5"/>
        <v>1520</v>
      </c>
      <c r="G40" s="6">
        <f t="shared" si="6"/>
        <v>1824</v>
      </c>
      <c r="H40" s="6">
        <f t="shared" si="8"/>
        <v>93.08061022576076</v>
      </c>
    </row>
    <row r="41" spans="1:8" ht="12.75">
      <c r="A41" s="13">
        <v>78</v>
      </c>
      <c r="B41" s="6">
        <f t="shared" si="2"/>
        <v>817.6458823500001</v>
      </c>
      <c r="C41" s="6">
        <f t="shared" si="7"/>
        <v>624</v>
      </c>
      <c r="D41" s="6">
        <f t="shared" si="3"/>
        <v>936</v>
      </c>
      <c r="E41" s="6">
        <f t="shared" si="4"/>
        <v>1248</v>
      </c>
      <c r="F41" s="6">
        <f t="shared" si="5"/>
        <v>1560</v>
      </c>
      <c r="G41" s="6">
        <f t="shared" si="6"/>
        <v>1872</v>
      </c>
      <c r="H41" s="6">
        <f t="shared" si="8"/>
        <v>95.53009996854394</v>
      </c>
    </row>
    <row r="42" spans="1:8" ht="12.75">
      <c r="A42" s="13">
        <v>80</v>
      </c>
      <c r="B42" s="6">
        <f t="shared" si="2"/>
        <v>838.6058823500001</v>
      </c>
      <c r="C42" s="6">
        <f t="shared" si="7"/>
        <v>640</v>
      </c>
      <c r="D42" s="6">
        <f t="shared" si="3"/>
        <v>960</v>
      </c>
      <c r="E42" s="6">
        <f t="shared" si="4"/>
        <v>1280</v>
      </c>
      <c r="F42" s="6">
        <f t="shared" si="5"/>
        <v>1600</v>
      </c>
      <c r="G42" s="6">
        <f t="shared" si="6"/>
        <v>1920</v>
      </c>
      <c r="H42" s="6">
        <f t="shared" si="8"/>
        <v>97.97958971132712</v>
      </c>
    </row>
    <row r="43" spans="1:8" ht="12.75">
      <c r="A43" s="13">
        <v>82</v>
      </c>
      <c r="B43" s="6">
        <f t="shared" si="2"/>
        <v>859.56588235</v>
      </c>
      <c r="C43" s="6">
        <f t="shared" si="7"/>
        <v>656</v>
      </c>
      <c r="D43" s="6">
        <f t="shared" si="3"/>
        <v>984</v>
      </c>
      <c r="E43" s="6">
        <f t="shared" si="4"/>
        <v>1312</v>
      </c>
      <c r="F43" s="6">
        <f t="shared" si="5"/>
        <v>1640</v>
      </c>
      <c r="G43" s="6">
        <f t="shared" si="6"/>
        <v>1968</v>
      </c>
      <c r="H43" s="6">
        <f t="shared" si="8"/>
        <v>100.4290794541103</v>
      </c>
    </row>
    <row r="44" spans="1:8" ht="12.75">
      <c r="A44" s="13">
        <v>84</v>
      </c>
      <c r="B44" s="6">
        <f t="shared" si="2"/>
        <v>880.5258823500001</v>
      </c>
      <c r="C44" s="6">
        <f t="shared" si="7"/>
        <v>672</v>
      </c>
      <c r="D44" s="6">
        <f t="shared" si="3"/>
        <v>1008</v>
      </c>
      <c r="E44" s="6">
        <f t="shared" si="4"/>
        <v>1344</v>
      </c>
      <c r="F44" s="6">
        <f t="shared" si="5"/>
        <v>1680</v>
      </c>
      <c r="G44" s="6">
        <f t="shared" si="6"/>
        <v>2016</v>
      </c>
      <c r="H44" s="6">
        <f t="shared" si="8"/>
        <v>102.87856919689347</v>
      </c>
    </row>
    <row r="45" spans="1:8" ht="12.75">
      <c r="A45" s="13">
        <v>86</v>
      </c>
      <c r="B45" s="6">
        <f t="shared" si="2"/>
        <v>901.4858823500001</v>
      </c>
      <c r="C45" s="6">
        <f t="shared" si="7"/>
        <v>688</v>
      </c>
      <c r="D45" s="6">
        <f t="shared" si="3"/>
        <v>1032</v>
      </c>
      <c r="E45" s="6">
        <f t="shared" si="4"/>
        <v>1376</v>
      </c>
      <c r="F45" s="6">
        <f t="shared" si="5"/>
        <v>1720</v>
      </c>
      <c r="G45" s="6">
        <f t="shared" si="6"/>
        <v>2064</v>
      </c>
      <c r="H45" s="6">
        <f t="shared" si="8"/>
        <v>105.32805893967665</v>
      </c>
    </row>
    <row r="46" spans="1:8" ht="12.75">
      <c r="A46" s="13">
        <v>88</v>
      </c>
      <c r="B46" s="6">
        <f t="shared" si="2"/>
        <v>922.44588235</v>
      </c>
      <c r="C46" s="6">
        <f t="shared" si="7"/>
        <v>704</v>
      </c>
      <c r="D46" s="6">
        <f t="shared" si="3"/>
        <v>1056</v>
      </c>
      <c r="E46" s="6">
        <f t="shared" si="4"/>
        <v>1408</v>
      </c>
      <c r="F46" s="6">
        <f t="shared" si="5"/>
        <v>1760</v>
      </c>
      <c r="G46" s="6">
        <f t="shared" si="6"/>
        <v>2112</v>
      </c>
      <c r="H46" s="6">
        <f t="shared" si="8"/>
        <v>107.77754868245982</v>
      </c>
    </row>
    <row r="47" spans="1:8" ht="12.75">
      <c r="A47" s="13">
        <v>90</v>
      </c>
      <c r="B47" s="6">
        <f t="shared" si="2"/>
        <v>943.4058823500001</v>
      </c>
      <c r="C47" s="6">
        <f t="shared" si="7"/>
        <v>720</v>
      </c>
      <c r="D47" s="6">
        <f t="shared" si="3"/>
        <v>1080</v>
      </c>
      <c r="E47" s="6">
        <f t="shared" si="4"/>
        <v>1440</v>
      </c>
      <c r="F47" s="6">
        <f t="shared" si="5"/>
        <v>1800</v>
      </c>
      <c r="G47" s="6">
        <f t="shared" si="6"/>
        <v>2160</v>
      </c>
      <c r="H47" s="6">
        <f t="shared" si="8"/>
        <v>110.22703842524301</v>
      </c>
    </row>
    <row r="48" spans="1:8" ht="12.75">
      <c r="A48" s="13">
        <v>92</v>
      </c>
      <c r="B48" s="6">
        <f t="shared" si="2"/>
        <v>964.3658823500001</v>
      </c>
      <c r="C48" s="6">
        <f t="shared" si="7"/>
        <v>736</v>
      </c>
      <c r="D48" s="6">
        <f t="shared" si="3"/>
        <v>1104</v>
      </c>
      <c r="E48" s="6">
        <f t="shared" si="4"/>
        <v>1472</v>
      </c>
      <c r="F48" s="6">
        <f t="shared" si="5"/>
        <v>1840</v>
      </c>
      <c r="G48" s="6">
        <f t="shared" si="6"/>
        <v>2208</v>
      </c>
      <c r="H48" s="6">
        <f t="shared" si="8"/>
        <v>112.67652816802618</v>
      </c>
    </row>
    <row r="49" spans="1:8" ht="12.75">
      <c r="A49" s="13">
        <v>94</v>
      </c>
      <c r="B49" s="6">
        <f t="shared" si="2"/>
        <v>985.32588235</v>
      </c>
      <c r="C49" s="6">
        <f t="shared" si="7"/>
        <v>752</v>
      </c>
      <c r="D49" s="6">
        <f t="shared" si="3"/>
        <v>1128</v>
      </c>
      <c r="E49" s="6">
        <f t="shared" si="4"/>
        <v>1504</v>
      </c>
      <c r="F49" s="6">
        <f t="shared" si="5"/>
        <v>1880</v>
      </c>
      <c r="G49" s="6">
        <f t="shared" si="6"/>
        <v>2256</v>
      </c>
      <c r="H49" s="6">
        <f t="shared" si="8"/>
        <v>115.12601791080937</v>
      </c>
    </row>
    <row r="50" spans="1:8" ht="12.75">
      <c r="A50" s="13">
        <v>96</v>
      </c>
      <c r="B50" s="6">
        <f t="shared" si="2"/>
        <v>1006.2858823500001</v>
      </c>
      <c r="C50" s="6">
        <f t="shared" si="7"/>
        <v>768</v>
      </c>
      <c r="D50" s="6">
        <f t="shared" si="3"/>
        <v>1152</v>
      </c>
      <c r="E50" s="6">
        <f t="shared" si="4"/>
        <v>1536</v>
      </c>
      <c r="F50" s="6">
        <f t="shared" si="5"/>
        <v>1920</v>
      </c>
      <c r="G50" s="6">
        <f t="shared" si="6"/>
        <v>2304</v>
      </c>
      <c r="H50" s="6">
        <f t="shared" si="8"/>
        <v>117.57550765359254</v>
      </c>
    </row>
    <row r="51" spans="1:8" ht="12.75">
      <c r="A51" s="13">
        <v>98</v>
      </c>
      <c r="B51" s="6">
        <f t="shared" si="2"/>
        <v>1027.2458823499999</v>
      </c>
      <c r="C51" s="6">
        <f t="shared" si="7"/>
        <v>784</v>
      </c>
      <c r="D51" s="6">
        <f t="shared" si="3"/>
        <v>1176</v>
      </c>
      <c r="E51" s="6">
        <f t="shared" si="4"/>
        <v>1568</v>
      </c>
      <c r="F51" s="6">
        <f t="shared" si="5"/>
        <v>1960</v>
      </c>
      <c r="G51" s="6">
        <f t="shared" si="6"/>
        <v>2352</v>
      </c>
      <c r="H51" s="6">
        <f t="shared" si="8"/>
        <v>120.02499739637571</v>
      </c>
    </row>
    <row r="52" spans="1:8" ht="12.75">
      <c r="A52" s="13">
        <v>100</v>
      </c>
      <c r="B52" s="6">
        <f t="shared" si="2"/>
        <v>1048.20588235</v>
      </c>
      <c r="C52" s="6">
        <f t="shared" si="7"/>
        <v>800</v>
      </c>
      <c r="D52" s="6">
        <f t="shared" si="3"/>
        <v>1200</v>
      </c>
      <c r="E52" s="6">
        <f t="shared" si="4"/>
        <v>1600</v>
      </c>
      <c r="F52" s="6">
        <f t="shared" si="5"/>
        <v>2000</v>
      </c>
      <c r="G52" s="6">
        <f t="shared" si="6"/>
        <v>2400</v>
      </c>
      <c r="H52" s="6">
        <f t="shared" si="8"/>
        <v>122.4744871391589</v>
      </c>
    </row>
    <row r="53" spans="1:8" ht="12.75">
      <c r="A53" s="13">
        <v>110</v>
      </c>
      <c r="B53" s="6">
        <f t="shared" si="2"/>
        <v>1153.0058823499999</v>
      </c>
      <c r="C53" s="6">
        <f t="shared" si="7"/>
        <v>880</v>
      </c>
      <c r="D53" s="6">
        <f t="shared" si="3"/>
        <v>1320</v>
      </c>
      <c r="E53" s="6">
        <f>C53*2</f>
        <v>1760</v>
      </c>
      <c r="F53" s="6">
        <f t="shared" si="5"/>
        <v>2200</v>
      </c>
      <c r="G53" s="6">
        <f>C53*3</f>
        <v>2640</v>
      </c>
      <c r="H53" s="6">
        <f t="shared" si="8"/>
        <v>134.7219358530748</v>
      </c>
    </row>
    <row r="54" spans="1:8" ht="12.75">
      <c r="A54" s="13">
        <v>120</v>
      </c>
      <c r="B54" s="6">
        <f t="shared" si="2"/>
        <v>1257.80588235</v>
      </c>
      <c r="C54" s="6">
        <f t="shared" si="7"/>
        <v>960</v>
      </c>
      <c r="D54" s="6">
        <f t="shared" si="3"/>
        <v>1440</v>
      </c>
      <c r="E54" s="6">
        <f>C54*2</f>
        <v>1920</v>
      </c>
      <c r="F54" s="6">
        <f t="shared" si="5"/>
        <v>2400</v>
      </c>
      <c r="G54" s="6">
        <f>C54*3</f>
        <v>2880</v>
      </c>
      <c r="H54" s="6">
        <f t="shared" si="8"/>
        <v>146.96938456699067</v>
      </c>
    </row>
    <row r="55" spans="1:8" ht="12.75">
      <c r="A55" s="13">
        <v>130</v>
      </c>
      <c r="B55" s="6">
        <f t="shared" si="2"/>
        <v>1362.60588235</v>
      </c>
      <c r="C55" s="6">
        <f t="shared" si="7"/>
        <v>1040</v>
      </c>
      <c r="D55" s="6">
        <f t="shared" si="3"/>
        <v>1560</v>
      </c>
      <c r="E55" s="6">
        <f>C55*2</f>
        <v>2080</v>
      </c>
      <c r="F55" s="6">
        <f t="shared" si="5"/>
        <v>2600</v>
      </c>
      <c r="G55" s="6">
        <f>C55*3</f>
        <v>3120</v>
      </c>
      <c r="H55" s="6">
        <f t="shared" si="8"/>
        <v>159.21683328090657</v>
      </c>
    </row>
    <row r="56" spans="1:8" ht="12.75">
      <c r="A56" s="13">
        <v>140</v>
      </c>
      <c r="B56" s="6">
        <f t="shared" si="2"/>
        <v>1467.40588235</v>
      </c>
      <c r="C56" s="6">
        <f t="shared" si="7"/>
        <v>1120</v>
      </c>
      <c r="D56" s="6">
        <f t="shared" si="3"/>
        <v>1680</v>
      </c>
      <c r="E56" s="6">
        <f>C56*2</f>
        <v>2240</v>
      </c>
      <c r="F56" s="6">
        <f t="shared" si="5"/>
        <v>2800</v>
      </c>
      <c r="G56" s="6">
        <f>C56*3</f>
        <v>3360</v>
      </c>
      <c r="H56" s="6">
        <f t="shared" si="8"/>
        <v>171.46428199482244</v>
      </c>
    </row>
    <row r="57" spans="1:8" ht="12.75">
      <c r="A57" s="13">
        <v>150</v>
      </c>
      <c r="B57" s="6">
        <f t="shared" si="2"/>
        <v>1572.20588235</v>
      </c>
      <c r="C57" s="6">
        <f t="shared" si="7"/>
        <v>1200</v>
      </c>
      <c r="D57" s="6">
        <f t="shared" si="3"/>
        <v>1800</v>
      </c>
      <c r="E57" s="6">
        <f aca="true" t="shared" si="9" ref="E57:E62">C57*2</f>
        <v>2400</v>
      </c>
      <c r="F57" s="6">
        <f t="shared" si="5"/>
        <v>3000</v>
      </c>
      <c r="G57" s="6">
        <f aca="true" t="shared" si="10" ref="G57:G62">C57*3</f>
        <v>3600</v>
      </c>
      <c r="H57" s="6">
        <f t="shared" si="8"/>
        <v>183.71173070873834</v>
      </c>
    </row>
    <row r="58" spans="1:8" ht="12.75">
      <c r="A58" s="13">
        <v>160</v>
      </c>
      <c r="B58" s="6">
        <f t="shared" si="2"/>
        <v>1677.00588235</v>
      </c>
      <c r="C58" s="6">
        <f t="shared" si="7"/>
        <v>1280</v>
      </c>
      <c r="D58" s="6">
        <f t="shared" si="3"/>
        <v>1920</v>
      </c>
      <c r="E58" s="6">
        <f t="shared" si="9"/>
        <v>2560</v>
      </c>
      <c r="F58" s="6">
        <f t="shared" si="5"/>
        <v>3200</v>
      </c>
      <c r="G58" s="6">
        <f t="shared" si="10"/>
        <v>3840</v>
      </c>
      <c r="H58" s="6">
        <f t="shared" si="8"/>
        <v>195.95917942265424</v>
      </c>
    </row>
    <row r="59" spans="1:8" ht="12.75">
      <c r="A59" s="13">
        <v>170</v>
      </c>
      <c r="B59" s="6">
        <f t="shared" si="2"/>
        <v>1781.80588235</v>
      </c>
      <c r="C59" s="6">
        <f t="shared" si="7"/>
        <v>1360</v>
      </c>
      <c r="D59" s="6">
        <f t="shared" si="3"/>
        <v>2040</v>
      </c>
      <c r="E59" s="6">
        <f t="shared" si="9"/>
        <v>2720</v>
      </c>
      <c r="F59" s="6">
        <f t="shared" si="5"/>
        <v>3400</v>
      </c>
      <c r="G59" s="6">
        <f t="shared" si="10"/>
        <v>4080</v>
      </c>
      <c r="H59" s="6">
        <f t="shared" si="8"/>
        <v>208.20662813657012</v>
      </c>
    </row>
    <row r="60" spans="1:8" ht="12.75">
      <c r="A60" s="13">
        <v>180</v>
      </c>
      <c r="B60" s="6">
        <f t="shared" si="2"/>
        <v>1886.60588235</v>
      </c>
      <c r="C60" s="6">
        <f t="shared" si="7"/>
        <v>1440</v>
      </c>
      <c r="D60" s="6">
        <f t="shared" si="3"/>
        <v>2160</v>
      </c>
      <c r="E60" s="6">
        <f t="shared" si="9"/>
        <v>2880</v>
      </c>
      <c r="F60" s="6">
        <f t="shared" si="5"/>
        <v>3600</v>
      </c>
      <c r="G60" s="6">
        <f t="shared" si="10"/>
        <v>4320</v>
      </c>
      <c r="H60" s="6">
        <f t="shared" si="8"/>
        <v>220.45407685048602</v>
      </c>
    </row>
    <row r="61" spans="1:8" ht="12.75">
      <c r="A61" s="13">
        <v>190</v>
      </c>
      <c r="B61" s="6">
        <f t="shared" si="2"/>
        <v>1991.40588235</v>
      </c>
      <c r="C61" s="6">
        <f t="shared" si="7"/>
        <v>1520</v>
      </c>
      <c r="D61" s="6">
        <f t="shared" si="3"/>
        <v>2280</v>
      </c>
      <c r="E61" s="6">
        <f t="shared" si="9"/>
        <v>3040</v>
      </c>
      <c r="F61" s="6">
        <f t="shared" si="5"/>
        <v>3800</v>
      </c>
      <c r="G61" s="6">
        <f t="shared" si="10"/>
        <v>4560</v>
      </c>
      <c r="H61" s="6">
        <f t="shared" si="8"/>
        <v>232.7015255644019</v>
      </c>
    </row>
    <row r="62" spans="1:8" ht="12.75">
      <c r="A62" s="13">
        <v>200</v>
      </c>
      <c r="B62" s="6">
        <f t="shared" si="2"/>
        <v>2096.20588235</v>
      </c>
      <c r="C62" s="6">
        <f t="shared" si="7"/>
        <v>1600</v>
      </c>
      <c r="D62" s="6">
        <f t="shared" si="3"/>
        <v>2400</v>
      </c>
      <c r="E62" s="6">
        <f t="shared" si="9"/>
        <v>3200</v>
      </c>
      <c r="F62" s="6">
        <f t="shared" si="5"/>
        <v>4000</v>
      </c>
      <c r="G62" s="6">
        <f t="shared" si="10"/>
        <v>4800</v>
      </c>
      <c r="H62" s="6">
        <f t="shared" si="8"/>
        <v>244.9489742783178</v>
      </c>
    </row>
  </sheetData>
  <sheetProtection sheet="1" objects="1" scenarios="1"/>
  <mergeCells count="3">
    <mergeCell ref="J21:L21"/>
    <mergeCell ref="C2:G2"/>
    <mergeCell ref="A2:B2"/>
  </mergeCells>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2:M57"/>
  <sheetViews>
    <sheetView tabSelected="1" workbookViewId="0" topLeftCell="A1">
      <selection activeCell="F19" sqref="F19"/>
    </sheetView>
  </sheetViews>
  <sheetFormatPr defaultColWidth="9.140625" defaultRowHeight="12.75"/>
  <cols>
    <col min="1" max="1" width="13.7109375" style="0" bestFit="1" customWidth="1"/>
    <col min="2" max="2" width="13.8515625" style="0" bestFit="1" customWidth="1"/>
    <col min="3" max="3" width="7.7109375" style="0" bestFit="1" customWidth="1"/>
    <col min="4" max="4" width="11.28125" style="7" customWidth="1"/>
    <col min="5" max="5" width="12.28125" style="0" bestFit="1" customWidth="1"/>
    <col min="6" max="6" width="11.57421875" style="0" bestFit="1" customWidth="1"/>
    <col min="7" max="8" width="9.57421875" style="0" bestFit="1" customWidth="1"/>
  </cols>
  <sheetData>
    <row r="1" ht="12.75"/>
    <row r="2" spans="1:5" ht="12.75">
      <c r="A2" s="17" t="s">
        <v>128</v>
      </c>
      <c r="B2" s="17" t="s">
        <v>129</v>
      </c>
      <c r="C2" s="17" t="s">
        <v>130</v>
      </c>
      <c r="D2" s="9" t="s">
        <v>167</v>
      </c>
      <c r="E2" s="9" t="s">
        <v>151</v>
      </c>
    </row>
    <row r="3" spans="1:5" ht="12.75">
      <c r="A3" s="13">
        <v>190</v>
      </c>
      <c r="B3" s="13">
        <v>6</v>
      </c>
      <c r="C3" s="6">
        <f>A3*(14.7+B3)/14.7</f>
        <v>267.55102040816325</v>
      </c>
      <c r="D3" s="18">
        <f>(POWER((B10/C3),(1/3)))*5.825</f>
        <v>12.891191455545119</v>
      </c>
      <c r="E3" s="6">
        <f>234*(C3/B10)^(1/3)</f>
        <v>105.73499002791452</v>
      </c>
    </row>
    <row r="4" spans="1:6" ht="12.75">
      <c r="A4" s="6">
        <f>B13</f>
        <v>164.99772416932183</v>
      </c>
      <c r="B4" s="13">
        <v>8</v>
      </c>
      <c r="C4" s="6">
        <f>A4*(14.7+B4)/14.7</f>
        <v>254.79240398936093</v>
      </c>
      <c r="D4" s="18">
        <f>(POWER((B10/C4),(1/3)))*5.825</f>
        <v>13.102870140599848</v>
      </c>
      <c r="E4" s="6">
        <f>234*(C4/B10)^(1/3)</f>
        <v>104.02682659400912</v>
      </c>
      <c r="F4" t="s">
        <v>152</v>
      </c>
    </row>
    <row r="5" spans="1:6" ht="12.75">
      <c r="A5" s="6">
        <f>B14</f>
        <v>166.47726988054725</v>
      </c>
      <c r="B5" s="13">
        <v>8</v>
      </c>
      <c r="C5" s="6">
        <f>A5*(14.7+B5)/14.7</f>
        <v>257.0771446454709</v>
      </c>
      <c r="D5" s="18">
        <f>(POWER((B10/C5),(1/3)))*5.825</f>
        <v>13.063937875408234</v>
      </c>
      <c r="E5" s="6">
        <f>234*(C5/B10)^(1/3)</f>
        <v>104.33684031564688</v>
      </c>
      <c r="F5" t="s">
        <v>153</v>
      </c>
    </row>
    <row r="6" spans="1:6" ht="12.75">
      <c r="A6" s="6">
        <f>B15</f>
        <v>165.73749702493456</v>
      </c>
      <c r="B6" s="13">
        <v>8</v>
      </c>
      <c r="C6" s="6">
        <f>A6*(14.7+B6)/14.7</f>
        <v>255.93477431741596</v>
      </c>
      <c r="D6" s="18">
        <f>(POWER((B10/C6),(1/3)))*5.825</f>
        <v>13.083346082855543</v>
      </c>
      <c r="E6" s="6">
        <f>234*(C6/B10)^(1/3)</f>
        <v>104.18206408115617</v>
      </c>
      <c r="F6" t="s">
        <v>732</v>
      </c>
    </row>
    <row r="7" ht="12.75">
      <c r="D7"/>
    </row>
    <row r="8" ht="12.75"/>
    <row r="9" spans="1:3" ht="12.75">
      <c r="A9" s="117" t="s">
        <v>157</v>
      </c>
      <c r="B9" s="117"/>
      <c r="C9" s="117"/>
    </row>
    <row r="10" spans="1:3" ht="12.75">
      <c r="A10" s="10" t="s">
        <v>146</v>
      </c>
      <c r="B10" s="14">
        <v>2900</v>
      </c>
      <c r="C10" s="10" t="s">
        <v>147</v>
      </c>
    </row>
    <row r="11" spans="1:3" ht="12.75">
      <c r="A11" s="10" t="s">
        <v>148</v>
      </c>
      <c r="B11" s="14">
        <v>15.1</v>
      </c>
      <c r="C11" s="10" t="s">
        <v>149</v>
      </c>
    </row>
    <row r="12" spans="1:5" ht="12.75">
      <c r="A12" s="10" t="s">
        <v>150</v>
      </c>
      <c r="B12" s="14">
        <v>90</v>
      </c>
      <c r="C12" s="10" t="s">
        <v>151</v>
      </c>
      <c r="D12" s="33">
        <f>B12*1.609344</f>
        <v>144.84096</v>
      </c>
      <c r="E12" s="10" t="s">
        <v>978</v>
      </c>
    </row>
    <row r="13" spans="1:10" ht="12.75">
      <c r="A13" s="10" t="s">
        <v>152</v>
      </c>
      <c r="B13" s="12">
        <f>B10*(B12/234)^3</f>
        <v>164.99772416932183</v>
      </c>
      <c r="C13" s="10" t="s">
        <v>134</v>
      </c>
      <c r="D13" s="33">
        <f>B13*0.7456999</f>
        <v>123.03878641329086</v>
      </c>
      <c r="E13" s="10" t="s">
        <v>977</v>
      </c>
      <c r="G13" s="10" t="s">
        <v>1201</v>
      </c>
      <c r="H13" s="14">
        <v>166</v>
      </c>
      <c r="I13" s="10">
        <f>I15*(1-I14)</f>
        <v>405.68</v>
      </c>
      <c r="J13" s="14">
        <v>341</v>
      </c>
    </row>
    <row r="14" spans="1:10" ht="12.75">
      <c r="A14" s="10" t="s">
        <v>153</v>
      </c>
      <c r="B14" s="12">
        <f>B10/(B11/5.825)^3</f>
        <v>166.47726988054725</v>
      </c>
      <c r="C14" s="10" t="s">
        <v>134</v>
      </c>
      <c r="D14" s="33">
        <f>B14*0.7456999</f>
        <v>124.1420835021971</v>
      </c>
      <c r="E14" s="10" t="s">
        <v>977</v>
      </c>
      <c r="G14" s="10" t="s">
        <v>1200</v>
      </c>
      <c r="H14" s="32">
        <v>0.12</v>
      </c>
      <c r="I14" s="32">
        <v>0.12</v>
      </c>
      <c r="J14" s="94">
        <f>(J15-J13)/J15</f>
        <v>0.1880952380952381</v>
      </c>
    </row>
    <row r="15" spans="1:10" ht="12.75">
      <c r="A15" s="10" t="s">
        <v>731</v>
      </c>
      <c r="B15" s="12">
        <f>(B13+B14)/2</f>
        <v>165.73749702493456</v>
      </c>
      <c r="C15" s="10" t="s">
        <v>134</v>
      </c>
      <c r="D15" s="33">
        <f>B15*0.7456999</f>
        <v>123.590434957744</v>
      </c>
      <c r="E15" s="10" t="s">
        <v>977</v>
      </c>
      <c r="G15" s="10" t="s">
        <v>1199</v>
      </c>
      <c r="H15" s="12">
        <f>H13/(1-H14)</f>
        <v>188.63636363636363</v>
      </c>
      <c r="I15" s="14">
        <v>461</v>
      </c>
      <c r="J15" s="14">
        <v>420</v>
      </c>
    </row>
    <row r="16" ht="12.75"/>
    <row r="17" spans="1:10" ht="12.75">
      <c r="A17" s="117" t="s">
        <v>166</v>
      </c>
      <c r="B17" s="117"/>
      <c r="C17" s="117"/>
      <c r="E17" s="10" t="s">
        <v>158</v>
      </c>
      <c r="F17" s="14">
        <v>90</v>
      </c>
      <c r="G17" s="10" t="s">
        <v>161</v>
      </c>
      <c r="H17" s="10" t="s">
        <v>158</v>
      </c>
      <c r="I17" s="14">
        <v>4.03</v>
      </c>
      <c r="J17" s="10" t="s">
        <v>165</v>
      </c>
    </row>
    <row r="18" spans="1:11" ht="12.75">
      <c r="A18" s="10" t="s">
        <v>134</v>
      </c>
      <c r="B18" s="14">
        <v>268</v>
      </c>
      <c r="C18" s="10" t="s">
        <v>134</v>
      </c>
      <c r="E18" s="10" t="s">
        <v>159</v>
      </c>
      <c r="F18" s="14">
        <v>90</v>
      </c>
      <c r="G18" s="10" t="s">
        <v>161</v>
      </c>
      <c r="H18" s="10" t="s">
        <v>159</v>
      </c>
      <c r="I18" s="14">
        <v>4</v>
      </c>
      <c r="J18" s="10" t="s">
        <v>165</v>
      </c>
      <c r="K18" t="s">
        <v>280</v>
      </c>
    </row>
    <row r="19" spans="1:10" ht="12.75">
      <c r="A19" s="10" t="s">
        <v>155</v>
      </c>
      <c r="B19" s="16">
        <f>(POWER((B10/B18),(1/3)))*5.825</f>
        <v>12.88398857366709</v>
      </c>
      <c r="C19" s="10" t="s">
        <v>154</v>
      </c>
      <c r="E19" s="10" t="s">
        <v>135</v>
      </c>
      <c r="F19" s="14">
        <v>12</v>
      </c>
      <c r="G19" s="10"/>
      <c r="H19" s="10" t="s">
        <v>135</v>
      </c>
      <c r="I19" s="14">
        <v>8</v>
      </c>
      <c r="J19" s="10"/>
    </row>
    <row r="20" spans="1:10" ht="12.75">
      <c r="A20" s="10" t="s">
        <v>156</v>
      </c>
      <c r="B20" s="12">
        <f>234*(B18/B10)^(1/3)</f>
        <v>105.79410189681994</v>
      </c>
      <c r="C20" s="10" t="s">
        <v>151</v>
      </c>
      <c r="E20" s="10" t="s">
        <v>160</v>
      </c>
      <c r="F20" s="12">
        <f>F19*(F18/10)*3.1415926*(F17/20)^2</f>
        <v>6870.663016199999</v>
      </c>
      <c r="G20" s="10" t="s">
        <v>162</v>
      </c>
      <c r="H20" s="10" t="s">
        <v>160</v>
      </c>
      <c r="I20" s="12">
        <f>I19*(I18)*3.1415926*(I17/2)^2</f>
        <v>408.1783300587201</v>
      </c>
      <c r="J20" s="10" t="s">
        <v>164</v>
      </c>
    </row>
    <row r="21" spans="5:10" ht="12.75">
      <c r="E21" s="10"/>
      <c r="F21" s="16">
        <f>F20/1000</f>
        <v>6.870663016199999</v>
      </c>
      <c r="G21" s="10" t="s">
        <v>163</v>
      </c>
      <c r="H21" s="10"/>
      <c r="I21" s="16">
        <f>I22/1000</f>
        <v>6.68884278537205</v>
      </c>
      <c r="J21" s="10" t="s">
        <v>163</v>
      </c>
    </row>
    <row r="22" spans="5:10" ht="12.75">
      <c r="E22" s="10"/>
      <c r="F22" s="12">
        <f>F21*61.024</f>
        <v>419.27533990058873</v>
      </c>
      <c r="G22" s="10" t="s">
        <v>164</v>
      </c>
      <c r="H22" s="10"/>
      <c r="I22" s="12">
        <f>I20*16.38706</f>
        <v>6688.8427853720505</v>
      </c>
      <c r="J22" s="10" t="s">
        <v>162</v>
      </c>
    </row>
    <row r="23" ht="12.75"/>
    <row r="24" ht="12.75"/>
    <row r="25" spans="1:12" ht="12.75">
      <c r="A25" s="10" t="s">
        <v>146</v>
      </c>
      <c r="B25" s="14">
        <v>3690</v>
      </c>
      <c r="C25" s="10" t="s">
        <v>147</v>
      </c>
      <c r="D25" s="35" t="s">
        <v>639</v>
      </c>
      <c r="E25" s="35">
        <f>0.45359*B25</f>
        <v>1673.7471</v>
      </c>
      <c r="F25" s="10"/>
      <c r="G25" s="10"/>
      <c r="H25" s="10"/>
      <c r="I25" t="s">
        <v>134</v>
      </c>
      <c r="J25" s="52">
        <f>J26*1.341</f>
        <v>684.5811857402952</v>
      </c>
      <c r="K25" s="52">
        <f>K26*1.341</f>
        <v>249.26848116787514</v>
      </c>
      <c r="L25" s="52">
        <f>L26*1.341</f>
        <v>933.8496669081704</v>
      </c>
    </row>
    <row r="26" spans="1:12" ht="12.75">
      <c r="A26" s="10" t="s">
        <v>642</v>
      </c>
      <c r="B26" s="14">
        <v>47</v>
      </c>
      <c r="C26" s="10" t="s">
        <v>147</v>
      </c>
      <c r="D26" s="35" t="s">
        <v>641</v>
      </c>
      <c r="E26" s="35">
        <f>B26*4.448</f>
        <v>209.056</v>
      </c>
      <c r="F26" s="35"/>
      <c r="G26" s="114" t="s">
        <v>652</v>
      </c>
      <c r="H26" s="116"/>
      <c r="I26" t="s">
        <v>977</v>
      </c>
      <c r="J26" s="52">
        <f>(B28*E27*E28*J28^3)/2000</f>
        <v>510.5005113648734</v>
      </c>
      <c r="K26" s="52">
        <f>(K29+E26)*J28/1000</f>
        <v>185.88253629222606</v>
      </c>
      <c r="L26" s="52">
        <f>J26+K26</f>
        <v>696.3830476570995</v>
      </c>
    </row>
    <row r="27" spans="1:10" ht="12.75">
      <c r="A27" s="10" t="s">
        <v>643</v>
      </c>
      <c r="B27" s="14">
        <v>22.5</v>
      </c>
      <c r="C27" s="10" t="s">
        <v>644</v>
      </c>
      <c r="D27" s="35" t="s">
        <v>645</v>
      </c>
      <c r="E27" s="35">
        <f>B27*0.0929</f>
        <v>2.0902499999999997</v>
      </c>
      <c r="F27" s="35"/>
      <c r="G27" s="6">
        <f>G29*1.15</f>
        <v>239.577088792755</v>
      </c>
      <c r="H27" s="6">
        <f>H29*1.15</f>
        <v>321.27287607108445</v>
      </c>
      <c r="I27" t="s">
        <v>650</v>
      </c>
      <c r="J27">
        <v>225</v>
      </c>
    </row>
    <row r="28" spans="1:12" ht="12.75">
      <c r="A28" s="10" t="s">
        <v>646</v>
      </c>
      <c r="B28" s="14">
        <v>0.4</v>
      </c>
      <c r="C28" s="10"/>
      <c r="D28" s="35" t="s">
        <v>647</v>
      </c>
      <c r="E28" s="13">
        <v>1.2</v>
      </c>
      <c r="F28" s="10"/>
      <c r="G28" s="114" t="s">
        <v>653</v>
      </c>
      <c r="H28" s="116"/>
      <c r="I28" t="s">
        <v>273</v>
      </c>
      <c r="J28" s="52">
        <f>J27*0.44704</f>
        <v>100.584</v>
      </c>
      <c r="K28" s="7" t="s">
        <v>641</v>
      </c>
      <c r="L28" s="7" t="s">
        <v>147</v>
      </c>
    </row>
    <row r="29" spans="1:12" ht="12.75">
      <c r="A29" s="10"/>
      <c r="B29" s="10"/>
      <c r="C29" s="10"/>
      <c r="D29" s="35"/>
      <c r="E29" s="55"/>
      <c r="F29" s="10"/>
      <c r="G29" s="6">
        <f>MAX(G32:G38)</f>
        <v>208.32790329804786</v>
      </c>
      <c r="H29" s="6">
        <f>MAX(H32:H38)</f>
        <v>279.36771832268215</v>
      </c>
      <c r="I29" t="s">
        <v>274</v>
      </c>
      <c r="J29" s="56">
        <v>0.27</v>
      </c>
      <c r="K29" s="8">
        <f>J29*E28*J28^2/2</f>
        <v>1638.976851072</v>
      </c>
      <c r="L29" s="8">
        <f>K29*0.2248</f>
        <v>368.4419961209856</v>
      </c>
    </row>
    <row r="30" spans="1:13" ht="12.75">
      <c r="A30" s="10"/>
      <c r="B30" s="10"/>
      <c r="C30" s="35" t="s">
        <v>650</v>
      </c>
      <c r="D30" s="35" t="s">
        <v>635</v>
      </c>
      <c r="E30" s="35" t="s">
        <v>638</v>
      </c>
      <c r="F30" s="35" t="s">
        <v>648</v>
      </c>
      <c r="G30" s="114" t="s">
        <v>661</v>
      </c>
      <c r="H30" s="116"/>
      <c r="K30" s="117" t="s">
        <v>654</v>
      </c>
      <c r="L30" s="117"/>
      <c r="M30" s="117"/>
    </row>
    <row r="31" spans="1:13" ht="12.75">
      <c r="A31" s="10" t="s">
        <v>636</v>
      </c>
      <c r="B31" s="10" t="s">
        <v>637</v>
      </c>
      <c r="C31" s="35" t="s">
        <v>649</v>
      </c>
      <c r="D31" s="35" t="s">
        <v>640</v>
      </c>
      <c r="E31" s="35" t="s">
        <v>641</v>
      </c>
      <c r="F31" s="35" t="s">
        <v>641</v>
      </c>
      <c r="G31" s="35" t="s">
        <v>977</v>
      </c>
      <c r="H31" s="35" t="s">
        <v>134</v>
      </c>
      <c r="I31" s="10" t="s">
        <v>651</v>
      </c>
      <c r="K31" s="35" t="s">
        <v>651</v>
      </c>
      <c r="L31" s="35" t="s">
        <v>134</v>
      </c>
      <c r="M31" s="35" t="s">
        <v>662</v>
      </c>
    </row>
    <row r="32" spans="1:13" ht="12.75">
      <c r="A32" s="13">
        <v>30</v>
      </c>
      <c r="B32" s="50">
        <v>2</v>
      </c>
      <c r="C32" s="18">
        <f>A32*0.44704</f>
        <v>13.4112</v>
      </c>
      <c r="D32" s="47">
        <f>C32/B32</f>
        <v>6.7056</v>
      </c>
      <c r="E32" s="18">
        <f>$E$25*D32+$E$26</f>
        <v>11432.53455376</v>
      </c>
      <c r="F32" s="18">
        <f aca="true" t="shared" si="0" ref="F32:F41">($B$28*$E$27*$E$28*C32^2)/2</f>
        <v>90.22871079383039</v>
      </c>
      <c r="G32" s="6">
        <f aca="true" t="shared" si="1" ref="G32:G41">((F32+E32)*C32)/1000</f>
        <v>154.5340826935843</v>
      </c>
      <c r="H32" s="6">
        <f>G32*1.341</f>
        <v>207.23020489209657</v>
      </c>
      <c r="I32" s="14">
        <v>4465</v>
      </c>
      <c r="J32" s="1">
        <f>H32</f>
        <v>207.23020489209657</v>
      </c>
      <c r="K32" s="35">
        <f>SMALL(I32:I41,1)</f>
        <v>4393</v>
      </c>
      <c r="L32" s="6">
        <f>VLOOKUP(K32,$I$32:$J$41,2,FALSE)</f>
        <v>238.05407218341665</v>
      </c>
      <c r="M32" s="6">
        <f>L32*5252/K32</f>
        <v>284.6027742106315</v>
      </c>
    </row>
    <row r="33" spans="1:13" ht="12.75">
      <c r="A33" s="13">
        <v>40</v>
      </c>
      <c r="B33" s="50">
        <v>2.7</v>
      </c>
      <c r="C33" s="18">
        <f aca="true" t="shared" si="2" ref="C33:C38">A33*0.44704</f>
        <v>17.8816</v>
      </c>
      <c r="D33" s="47">
        <f>((C33-C32)/(B33-B32))</f>
        <v>6.386285714285712</v>
      </c>
      <c r="E33" s="18">
        <f aca="true" t="shared" si="3" ref="E33:E41">$E$25*D33+$E$26</f>
        <v>10898.08319405714</v>
      </c>
      <c r="F33" s="18">
        <f t="shared" si="0"/>
        <v>160.40659696680956</v>
      </c>
      <c r="G33" s="6">
        <f t="shared" si="1"/>
        <v>197.74349104717385</v>
      </c>
      <c r="H33" s="6">
        <f aca="true" t="shared" si="4" ref="H33:H41">G33*1.341</f>
        <v>265.1740214942601</v>
      </c>
      <c r="I33" s="14">
        <v>5952</v>
      </c>
      <c r="J33" s="1">
        <f aca="true" t="shared" si="5" ref="J33:J41">H33</f>
        <v>265.1740214942601</v>
      </c>
      <c r="K33" s="35">
        <f>SMALL(I32:I41,2)</f>
        <v>4465</v>
      </c>
      <c r="L33" s="6">
        <f aca="true" t="shared" si="6" ref="L33:L41">VLOOKUP(K33,$I$32:$J$41,2,FALSE)</f>
        <v>207.23020489209657</v>
      </c>
      <c r="M33" s="6">
        <f aca="true" t="shared" si="7" ref="M33:M41">L33*5252/K33</f>
        <v>243.75655903545155</v>
      </c>
    </row>
    <row r="34" spans="1:13" ht="12.75">
      <c r="A34" s="13">
        <v>50</v>
      </c>
      <c r="B34" s="13">
        <v>3.7</v>
      </c>
      <c r="C34" s="18">
        <f t="shared" si="2"/>
        <v>22.352</v>
      </c>
      <c r="D34" s="47">
        <f aca="true" t="shared" si="8" ref="D34:D41">((C34-C33)/(B34-B33))</f>
        <v>4.4704000000000015</v>
      </c>
      <c r="E34" s="18">
        <f t="shared" si="3"/>
        <v>7691.375035840002</v>
      </c>
      <c r="F34" s="18">
        <f t="shared" si="0"/>
        <v>250.63530776064002</v>
      </c>
      <c r="G34" s="6">
        <f t="shared" si="1"/>
        <v>177.51981520016156</v>
      </c>
      <c r="H34" s="6">
        <f t="shared" si="4"/>
        <v>238.05407218341665</v>
      </c>
      <c r="I34" s="14">
        <v>4393</v>
      </c>
      <c r="J34" s="1">
        <f t="shared" si="5"/>
        <v>238.05407218341665</v>
      </c>
      <c r="K34" s="35">
        <f>SMALL(I32:I41,3)</f>
        <v>4698</v>
      </c>
      <c r="L34" s="6">
        <f t="shared" si="6"/>
        <v>240.15320553143226</v>
      </c>
      <c r="M34" s="6">
        <f t="shared" si="7"/>
        <v>268.47267676693957</v>
      </c>
    </row>
    <row r="35" spans="1:13" ht="12.75">
      <c r="A35" s="13">
        <v>60</v>
      </c>
      <c r="B35" s="13">
        <v>4.8</v>
      </c>
      <c r="C35" s="18">
        <f t="shared" si="2"/>
        <v>26.8224</v>
      </c>
      <c r="D35" s="47">
        <f t="shared" si="8"/>
        <v>4.063999999999999</v>
      </c>
      <c r="E35" s="18">
        <f t="shared" si="3"/>
        <v>7011.164214399998</v>
      </c>
      <c r="F35" s="18">
        <f t="shared" si="0"/>
        <v>360.91484317532155</v>
      </c>
      <c r="G35" s="6">
        <f t="shared" si="1"/>
        <v>197.73685331390826</v>
      </c>
      <c r="H35" s="6">
        <f t="shared" si="4"/>
        <v>265.16512029395096</v>
      </c>
      <c r="I35" s="14">
        <v>5272</v>
      </c>
      <c r="J35" s="1">
        <f t="shared" si="5"/>
        <v>265.16512029395096</v>
      </c>
      <c r="K35" s="35">
        <f>SMALL(I32:I41,4)</f>
        <v>5272</v>
      </c>
      <c r="L35" s="6">
        <f t="shared" si="6"/>
        <v>265.16512029395096</v>
      </c>
      <c r="M35" s="6">
        <f t="shared" si="7"/>
        <v>264.159182811804</v>
      </c>
    </row>
    <row r="36" spans="1:13" ht="12.75">
      <c r="A36" s="13">
        <v>70</v>
      </c>
      <c r="B36" s="13">
        <v>6.1</v>
      </c>
      <c r="C36" s="18">
        <f t="shared" si="2"/>
        <v>31.2928</v>
      </c>
      <c r="D36" s="47">
        <f t="shared" si="8"/>
        <v>3.4387692307692324</v>
      </c>
      <c r="E36" s="18">
        <f t="shared" si="3"/>
        <v>5964.686027569233</v>
      </c>
      <c r="F36" s="18">
        <f t="shared" si="0"/>
        <v>491.24520321085436</v>
      </c>
      <c r="G36" s="6">
        <f t="shared" si="1"/>
        <v>202.0241648185551</v>
      </c>
      <c r="H36" s="6">
        <f t="shared" si="4"/>
        <v>270.9144050216824</v>
      </c>
      <c r="I36" s="14">
        <v>6150</v>
      </c>
      <c r="J36" s="1">
        <f t="shared" si="5"/>
        <v>270.9144050216824</v>
      </c>
      <c r="K36" s="35">
        <f>SMALL(I32:I41,5)</f>
        <v>5285</v>
      </c>
      <c r="L36" s="6">
        <f t="shared" si="6"/>
        <v>279.36771832268215</v>
      </c>
      <c r="M36" s="6">
        <f t="shared" si="7"/>
        <v>277.6233219736474</v>
      </c>
    </row>
    <row r="37" spans="1:13" ht="12.75">
      <c r="A37" s="13">
        <v>80</v>
      </c>
      <c r="B37" s="13">
        <v>7.9</v>
      </c>
      <c r="C37" s="18">
        <f t="shared" si="2"/>
        <v>35.7632</v>
      </c>
      <c r="D37" s="47">
        <f t="shared" si="8"/>
        <v>2.4835555555555535</v>
      </c>
      <c r="E37" s="18">
        <f t="shared" si="3"/>
        <v>4365.899908799996</v>
      </c>
      <c r="F37" s="18">
        <f t="shared" si="0"/>
        <v>641.6263878672382</v>
      </c>
      <c r="G37" s="6">
        <f t="shared" si="1"/>
        <v>179.08516445296962</v>
      </c>
      <c r="H37" s="6">
        <f t="shared" si="4"/>
        <v>240.15320553143226</v>
      </c>
      <c r="I37" s="14">
        <v>4698</v>
      </c>
      <c r="J37" s="1">
        <f t="shared" si="5"/>
        <v>240.15320553143226</v>
      </c>
      <c r="K37" s="35">
        <f>SMALL(I32:I41,6)</f>
        <v>5298</v>
      </c>
      <c r="L37" s="6">
        <f t="shared" si="6"/>
        <v>253.45766645246297</v>
      </c>
      <c r="M37" s="6">
        <f t="shared" si="7"/>
        <v>251.25701476186023</v>
      </c>
    </row>
    <row r="38" spans="1:13" ht="12.75">
      <c r="A38" s="13">
        <v>90</v>
      </c>
      <c r="B38" s="13">
        <v>9.7</v>
      </c>
      <c r="C38" s="18">
        <f t="shared" si="2"/>
        <v>40.2336</v>
      </c>
      <c r="D38" s="47">
        <f t="shared" si="8"/>
        <v>2.4835555555555597</v>
      </c>
      <c r="E38" s="18">
        <f t="shared" si="3"/>
        <v>4365.899908800006</v>
      </c>
      <c r="F38" s="18">
        <f t="shared" si="0"/>
        <v>812.0583971444737</v>
      </c>
      <c r="G38" s="6">
        <f t="shared" si="1"/>
        <v>208.32790329804786</v>
      </c>
      <c r="H38" s="6">
        <f t="shared" si="4"/>
        <v>279.36771832268215</v>
      </c>
      <c r="I38" s="14">
        <v>5285</v>
      </c>
      <c r="J38" s="1">
        <f t="shared" si="5"/>
        <v>279.36771832268215</v>
      </c>
      <c r="K38" s="35">
        <f>SMALL(I32:I41,7)</f>
        <v>5872</v>
      </c>
      <c r="L38" s="6">
        <f t="shared" si="6"/>
        <v>267.65488244830755</v>
      </c>
      <c r="M38" s="6">
        <f t="shared" si="7"/>
        <v>239.39431924702166</v>
      </c>
    </row>
    <row r="39" spans="1:13" ht="12.75">
      <c r="A39" s="13">
        <v>100</v>
      </c>
      <c r="B39" s="13">
        <v>12</v>
      </c>
      <c r="C39" s="18">
        <f>A39*0.44704</f>
        <v>44.704</v>
      </c>
      <c r="D39" s="47">
        <f t="shared" si="8"/>
        <v>1.943652173913042</v>
      </c>
      <c r="E39" s="18">
        <f t="shared" si="3"/>
        <v>3462.2381894956497</v>
      </c>
      <c r="F39" s="18">
        <f t="shared" si="0"/>
        <v>1002.5412310425601</v>
      </c>
      <c r="G39" s="6">
        <f t="shared" si="1"/>
        <v>199.59349921574014</v>
      </c>
      <c r="H39" s="6">
        <f t="shared" si="4"/>
        <v>267.65488244830755</v>
      </c>
      <c r="I39" s="14">
        <v>5872</v>
      </c>
      <c r="J39" s="1">
        <f t="shared" si="5"/>
        <v>267.65488244830755</v>
      </c>
      <c r="K39" s="35">
        <f>SMALL(I32:I41,8)</f>
        <v>5952</v>
      </c>
      <c r="L39" s="6">
        <f t="shared" si="6"/>
        <v>265.1740214942601</v>
      </c>
      <c r="M39" s="6">
        <f t="shared" si="7"/>
        <v>233.98756063303998</v>
      </c>
    </row>
    <row r="40" spans="1:13" ht="12.75">
      <c r="A40" s="13">
        <v>110</v>
      </c>
      <c r="B40" s="13">
        <v>14.8</v>
      </c>
      <c r="C40" s="18">
        <f>A40*0.44704</f>
        <v>49.1744</v>
      </c>
      <c r="D40" s="47">
        <f t="shared" si="8"/>
        <v>1.5965714285714274</v>
      </c>
      <c r="E40" s="18">
        <f t="shared" si="3"/>
        <v>2881.3127985142837</v>
      </c>
      <c r="F40" s="18">
        <f t="shared" si="0"/>
        <v>1213.0748895614975</v>
      </c>
      <c r="G40" s="6">
        <f t="shared" si="1"/>
        <v>201.33905792851368</v>
      </c>
      <c r="H40" s="6">
        <f t="shared" si="4"/>
        <v>269.99567668213683</v>
      </c>
      <c r="I40" s="14">
        <v>6459</v>
      </c>
      <c r="J40" s="1">
        <f t="shared" si="5"/>
        <v>269.99567668213683</v>
      </c>
      <c r="K40" s="35">
        <f>SMALL(I32:I41,9)</f>
        <v>6150</v>
      </c>
      <c r="L40" s="6">
        <f t="shared" si="6"/>
        <v>270.9144050216824</v>
      </c>
      <c r="M40" s="6">
        <f t="shared" si="7"/>
        <v>231.35649677624</v>
      </c>
    </row>
    <row r="41" spans="1:13" ht="12.75">
      <c r="A41" s="13">
        <v>120</v>
      </c>
      <c r="B41" s="13">
        <v>18.8</v>
      </c>
      <c r="C41" s="18">
        <f>A41*0.44704</f>
        <v>53.6448</v>
      </c>
      <c r="D41" s="47">
        <f t="shared" si="8"/>
        <v>1.1175999999999995</v>
      </c>
      <c r="E41" s="18">
        <f t="shared" si="3"/>
        <v>2079.6357589599993</v>
      </c>
      <c r="F41" s="18">
        <f t="shared" si="0"/>
        <v>1443.6593727012862</v>
      </c>
      <c r="G41" s="6">
        <f t="shared" si="1"/>
        <v>189.0064626789433</v>
      </c>
      <c r="H41" s="6">
        <f t="shared" si="4"/>
        <v>253.45766645246297</v>
      </c>
      <c r="I41" s="14">
        <v>5298</v>
      </c>
      <c r="J41" s="1">
        <f t="shared" si="5"/>
        <v>253.45766645246297</v>
      </c>
      <c r="K41" s="35">
        <f>SMALL(I32:I41,10)</f>
        <v>6459</v>
      </c>
      <c r="L41" s="6">
        <f t="shared" si="6"/>
        <v>269.99567668213683</v>
      </c>
      <c r="M41" s="6">
        <f t="shared" si="7"/>
        <v>219.54130576475967</v>
      </c>
    </row>
    <row r="42" ht="12.75"/>
    <row r="43" spans="8:12" ht="12.75">
      <c r="H43" s="10" t="s">
        <v>655</v>
      </c>
      <c r="I43" s="14">
        <v>6800</v>
      </c>
      <c r="J43" s="35" t="s">
        <v>658</v>
      </c>
      <c r="K43" s="35" t="s">
        <v>659</v>
      </c>
      <c r="L43" s="10" t="s">
        <v>660</v>
      </c>
    </row>
    <row r="44" spans="8:12" ht="12.75">
      <c r="H44" s="48" t="s">
        <v>656</v>
      </c>
      <c r="I44" s="48"/>
      <c r="J44" s="51">
        <v>3.27</v>
      </c>
      <c r="K44" s="51">
        <v>24.9</v>
      </c>
      <c r="L44" s="49">
        <f>1/(K44*3.14159*0.00001578)</f>
        <v>810.1102891893977</v>
      </c>
    </row>
    <row r="45" spans="8:13" ht="12.75">
      <c r="H45" s="10" t="s">
        <v>657</v>
      </c>
      <c r="I45" s="14">
        <v>3.37</v>
      </c>
      <c r="J45" s="14">
        <v>1.99</v>
      </c>
      <c r="K45" s="14">
        <v>1.33</v>
      </c>
      <c r="L45" s="14">
        <v>1</v>
      </c>
      <c r="M45" s="14">
        <v>0.67</v>
      </c>
    </row>
    <row r="46" spans="8:13" ht="12.75">
      <c r="H46" s="10" t="s">
        <v>634</v>
      </c>
      <c r="I46" s="114" t="s">
        <v>651</v>
      </c>
      <c r="J46" s="115"/>
      <c r="K46" s="115"/>
      <c r="L46" s="115"/>
      <c r="M46" s="116"/>
    </row>
    <row r="47" spans="8:13" ht="12.75">
      <c r="H47" s="10">
        <f aca="true" t="shared" si="9" ref="H47:H56">A32</f>
        <v>30</v>
      </c>
      <c r="I47" s="12">
        <f aca="true" t="shared" si="10" ref="I47:M57">($L$44*$H47/60)*I$45*$J$44</f>
        <v>4463.667187919122</v>
      </c>
      <c r="J47" s="12">
        <f t="shared" si="10"/>
        <v>2635.8153424210836</v>
      </c>
      <c r="K47" s="12">
        <f t="shared" si="10"/>
        <v>1761.625329356805</v>
      </c>
      <c r="L47" s="12">
        <f t="shared" si="10"/>
        <v>1324.5303228246653</v>
      </c>
      <c r="M47" s="12">
        <f t="shared" si="10"/>
        <v>887.4353162925258</v>
      </c>
    </row>
    <row r="48" spans="8:13" ht="12.75">
      <c r="H48" s="10">
        <f t="shared" si="9"/>
        <v>40</v>
      </c>
      <c r="I48" s="12">
        <f t="shared" si="10"/>
        <v>5951.55625055883</v>
      </c>
      <c r="J48" s="12">
        <f t="shared" si="10"/>
        <v>3514.420456561445</v>
      </c>
      <c r="K48" s="12">
        <f t="shared" si="10"/>
        <v>2348.83377247574</v>
      </c>
      <c r="L48" s="12">
        <f t="shared" si="10"/>
        <v>1766.0404304328872</v>
      </c>
      <c r="M48" s="12">
        <f t="shared" si="10"/>
        <v>1183.2470883900344</v>
      </c>
    </row>
    <row r="49" spans="8:13" ht="12.75">
      <c r="H49" s="10">
        <f t="shared" si="9"/>
        <v>50</v>
      </c>
      <c r="I49" s="12">
        <f t="shared" si="10"/>
        <v>7439.445313198537</v>
      </c>
      <c r="J49" s="12">
        <f t="shared" si="10"/>
        <v>4393.025570701807</v>
      </c>
      <c r="K49" s="12">
        <f t="shared" si="10"/>
        <v>2936.042215594675</v>
      </c>
      <c r="L49" s="12">
        <f t="shared" si="10"/>
        <v>2207.550538041109</v>
      </c>
      <c r="M49" s="12">
        <f t="shared" si="10"/>
        <v>1479.0588604875431</v>
      </c>
    </row>
    <row r="50" spans="8:13" ht="12.75">
      <c r="H50" s="10">
        <f t="shared" si="9"/>
        <v>60</v>
      </c>
      <c r="I50" s="12">
        <f t="shared" si="10"/>
        <v>8927.334375838243</v>
      </c>
      <c r="J50" s="12">
        <f t="shared" si="10"/>
        <v>5271.630684842167</v>
      </c>
      <c r="K50" s="12">
        <f t="shared" si="10"/>
        <v>3523.25065871361</v>
      </c>
      <c r="L50" s="12">
        <f t="shared" si="10"/>
        <v>2649.0606456493306</v>
      </c>
      <c r="M50" s="12">
        <f t="shared" si="10"/>
        <v>1774.8706325850517</v>
      </c>
    </row>
    <row r="51" spans="8:13" ht="12.75">
      <c r="H51" s="10">
        <f t="shared" si="9"/>
        <v>70</v>
      </c>
      <c r="I51" s="12">
        <f t="shared" si="10"/>
        <v>10415.223438477951</v>
      </c>
      <c r="J51" s="12">
        <f t="shared" si="10"/>
        <v>6150.23579898253</v>
      </c>
      <c r="K51" s="12">
        <f t="shared" si="10"/>
        <v>4110.459101832545</v>
      </c>
      <c r="L51" s="12">
        <f t="shared" si="10"/>
        <v>3090.5707532575525</v>
      </c>
      <c r="M51" s="12">
        <f t="shared" si="10"/>
        <v>2070.68240468256</v>
      </c>
    </row>
    <row r="52" spans="8:13" ht="12.75">
      <c r="H52" s="10">
        <f t="shared" si="9"/>
        <v>80</v>
      </c>
      <c r="I52" s="12">
        <f t="shared" si="10"/>
        <v>11903.11250111766</v>
      </c>
      <c r="J52" s="12">
        <f t="shared" si="10"/>
        <v>7028.84091312289</v>
      </c>
      <c r="K52" s="12">
        <f t="shared" si="10"/>
        <v>4697.66754495148</v>
      </c>
      <c r="L52" s="12">
        <f t="shared" si="10"/>
        <v>3532.0808608657744</v>
      </c>
      <c r="M52" s="12">
        <f t="shared" si="10"/>
        <v>2366.4941767800688</v>
      </c>
    </row>
    <row r="53" spans="8:13" ht="12.75">
      <c r="H53" s="10">
        <f t="shared" si="9"/>
        <v>90</v>
      </c>
      <c r="I53" s="12">
        <f t="shared" si="10"/>
        <v>13391.001563757365</v>
      </c>
      <c r="J53" s="12">
        <f t="shared" si="10"/>
        <v>7907.4460272632505</v>
      </c>
      <c r="K53" s="12">
        <f t="shared" si="10"/>
        <v>5284.875988070414</v>
      </c>
      <c r="L53" s="12">
        <f t="shared" si="10"/>
        <v>3973.5909684739954</v>
      </c>
      <c r="M53" s="12">
        <f t="shared" si="10"/>
        <v>2662.305948877577</v>
      </c>
    </row>
    <row r="54" spans="8:13" ht="12.75">
      <c r="H54" s="10">
        <f t="shared" si="9"/>
        <v>100</v>
      </c>
      <c r="I54" s="12">
        <f t="shared" si="10"/>
        <v>14878.890626397075</v>
      </c>
      <c r="J54" s="12">
        <f t="shared" si="10"/>
        <v>8786.051141403614</v>
      </c>
      <c r="K54" s="12">
        <f t="shared" si="10"/>
        <v>5872.08443118935</v>
      </c>
      <c r="L54" s="12">
        <f t="shared" si="10"/>
        <v>4415.101076082218</v>
      </c>
      <c r="M54" s="12">
        <f t="shared" si="10"/>
        <v>2958.1177209750863</v>
      </c>
    </row>
    <row r="55" spans="8:13" ht="12.75">
      <c r="H55" s="10">
        <f t="shared" si="9"/>
        <v>110</v>
      </c>
      <c r="I55" s="12">
        <f t="shared" si="10"/>
        <v>16366.77968903678</v>
      </c>
      <c r="J55" s="12">
        <f t="shared" si="10"/>
        <v>9664.656255543974</v>
      </c>
      <c r="K55" s="12">
        <f t="shared" si="10"/>
        <v>6459.292874308285</v>
      </c>
      <c r="L55" s="12">
        <f t="shared" si="10"/>
        <v>4856.611183690439</v>
      </c>
      <c r="M55" s="12">
        <f t="shared" si="10"/>
        <v>3253.929493072594</v>
      </c>
    </row>
    <row r="56" spans="8:13" ht="12.75">
      <c r="H56" s="10">
        <f t="shared" si="9"/>
        <v>120</v>
      </c>
      <c r="I56" s="12">
        <f t="shared" si="10"/>
        <v>17854.668751676487</v>
      </c>
      <c r="J56" s="12">
        <f t="shared" si="10"/>
        <v>10543.261369684335</v>
      </c>
      <c r="K56" s="12">
        <f t="shared" si="10"/>
        <v>7046.50131742722</v>
      </c>
      <c r="L56" s="12">
        <f t="shared" si="10"/>
        <v>5298.121291298661</v>
      </c>
      <c r="M56" s="12">
        <f t="shared" si="10"/>
        <v>3549.7412651701034</v>
      </c>
    </row>
    <row r="57" spans="8:13" ht="12.75">
      <c r="H57" s="54">
        <v>155</v>
      </c>
      <c r="I57" s="12">
        <f t="shared" si="10"/>
        <v>23062.280470915463</v>
      </c>
      <c r="J57" s="12">
        <f t="shared" si="10"/>
        <v>13618.3792691756</v>
      </c>
      <c r="K57" s="12">
        <f t="shared" si="10"/>
        <v>9101.730868343491</v>
      </c>
      <c r="L57" s="12">
        <f t="shared" si="10"/>
        <v>6843.4066679274365</v>
      </c>
      <c r="M57" s="12">
        <f t="shared" si="10"/>
        <v>4585.082467511383</v>
      </c>
    </row>
    <row r="58" ht="12.75"/>
    <row r="59" ht="12.75"/>
    <row r="60" ht="12.75"/>
    <row r="61" ht="12.75"/>
    <row r="62" ht="12.75"/>
    <row r="63" ht="12.75"/>
    <row r="64" ht="12.75"/>
    <row r="65" ht="12.75"/>
  </sheetData>
  <sheetProtection sheet="1" objects="1" scenarios="1"/>
  <mergeCells count="7">
    <mergeCell ref="I46:M46"/>
    <mergeCell ref="K30:M30"/>
    <mergeCell ref="A9:C9"/>
    <mergeCell ref="A17:C17"/>
    <mergeCell ref="G30:H30"/>
    <mergeCell ref="G28:H28"/>
    <mergeCell ref="G26:H26"/>
  </mergeCells>
  <conditionalFormatting sqref="I47:M57">
    <cfRule type="cellIs" priority="1" dxfId="0" operator="greaterThan" stopIfTrue="1">
      <formula>$I$43</formula>
    </cfRule>
  </conditionalFormatting>
  <printOptions/>
  <pageMargins left="0.75" right="0.75" top="1" bottom="1" header="0.5" footer="0.5"/>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O60"/>
  <sheetViews>
    <sheetView workbookViewId="0" topLeftCell="E1">
      <selection activeCell="N16" sqref="N16"/>
    </sheetView>
  </sheetViews>
  <sheetFormatPr defaultColWidth="9.140625" defaultRowHeight="12.75"/>
  <cols>
    <col min="1" max="1" width="13.00390625" style="0" bestFit="1" customWidth="1"/>
    <col min="2" max="2" width="7.28125" style="0" bestFit="1" customWidth="1"/>
    <col min="3" max="3" width="11.57421875" style="0" customWidth="1"/>
    <col min="12" max="12" width="12.7109375" style="0" bestFit="1" customWidth="1"/>
    <col min="13" max="13" width="11.57421875" style="0" bestFit="1" customWidth="1"/>
    <col min="14" max="14" width="6.00390625" style="0" bestFit="1" customWidth="1"/>
    <col min="15" max="15" width="12.28125" style="0" bestFit="1" customWidth="1"/>
    <col min="16" max="16" width="6.00390625" style="0" bestFit="1" customWidth="1"/>
  </cols>
  <sheetData>
    <row r="1" spans="1:11" ht="12.75">
      <c r="A1" s="118"/>
      <c r="B1" s="119"/>
      <c r="C1" s="119"/>
      <c r="D1" s="119"/>
      <c r="E1" s="119"/>
      <c r="F1" s="119"/>
      <c r="G1" s="119"/>
      <c r="H1" s="119"/>
      <c r="I1" s="119"/>
      <c r="J1" s="119"/>
      <c r="K1" s="119"/>
    </row>
    <row r="2" spans="1:14" ht="25.5" customHeight="1">
      <c r="A2" s="27" t="s">
        <v>403</v>
      </c>
      <c r="B2" s="120" t="s">
        <v>405</v>
      </c>
      <c r="C2" s="120" t="s">
        <v>406</v>
      </c>
      <c r="D2" s="120" t="s">
        <v>106</v>
      </c>
      <c r="E2" s="120" t="s">
        <v>407</v>
      </c>
      <c r="F2" s="120" t="s">
        <v>408</v>
      </c>
      <c r="G2" s="28" t="s">
        <v>409</v>
      </c>
      <c r="H2" s="120" t="s">
        <v>411</v>
      </c>
      <c r="I2" s="122" t="s">
        <v>412</v>
      </c>
      <c r="J2" s="3" t="s">
        <v>108</v>
      </c>
      <c r="K2" s="3" t="s">
        <v>107</v>
      </c>
      <c r="L2" s="3" t="s">
        <v>113</v>
      </c>
      <c r="N2" t="s">
        <v>106</v>
      </c>
    </row>
    <row r="3" spans="1:12" ht="12.75">
      <c r="A3" s="29" t="s">
        <v>404</v>
      </c>
      <c r="B3" s="121"/>
      <c r="C3" s="121"/>
      <c r="D3" s="121"/>
      <c r="E3" s="121"/>
      <c r="F3" s="121"/>
      <c r="G3" s="20" t="s">
        <v>410</v>
      </c>
      <c r="H3" s="121"/>
      <c r="I3" s="123"/>
      <c r="J3">
        <v>133</v>
      </c>
      <c r="K3" s="1">
        <f>(J3-0.20588235)/10.48</f>
        <v>12.671194432251909</v>
      </c>
      <c r="L3" s="2" t="s">
        <v>114</v>
      </c>
    </row>
    <row r="4" spans="1:12" ht="12.75">
      <c r="A4" s="30" t="s">
        <v>413</v>
      </c>
      <c r="B4" s="124">
        <v>134</v>
      </c>
      <c r="C4" s="124" t="s">
        <v>414</v>
      </c>
      <c r="D4" s="124" t="s">
        <v>414</v>
      </c>
      <c r="E4" s="124">
        <v>13.1</v>
      </c>
      <c r="F4" s="124">
        <v>26.8</v>
      </c>
      <c r="G4" s="124">
        <v>300</v>
      </c>
      <c r="H4" s="124" t="s">
        <v>414</v>
      </c>
      <c r="I4" s="126" t="s">
        <v>414</v>
      </c>
      <c r="J4">
        <v>134</v>
      </c>
      <c r="K4" s="1">
        <f aca="true" t="shared" si="0" ref="K4:K12">(J4-0.20588235)/10.48</f>
        <v>12.766614279580153</v>
      </c>
      <c r="L4" s="2" t="s">
        <v>115</v>
      </c>
    </row>
    <row r="5" spans="1:14" ht="25.5">
      <c r="A5" s="24" t="s">
        <v>115</v>
      </c>
      <c r="B5" s="125"/>
      <c r="C5" s="125"/>
      <c r="D5" s="125"/>
      <c r="E5" s="125"/>
      <c r="F5" s="125"/>
      <c r="G5" s="125"/>
      <c r="H5" s="125"/>
      <c r="I5" s="127"/>
      <c r="J5">
        <v>146</v>
      </c>
      <c r="K5" s="1">
        <f t="shared" si="0"/>
        <v>13.911652447519083</v>
      </c>
      <c r="L5" s="2" t="s">
        <v>116</v>
      </c>
      <c r="M5" t="s">
        <v>118</v>
      </c>
      <c r="N5">
        <v>14</v>
      </c>
    </row>
    <row r="6" spans="1:12" ht="25.5">
      <c r="A6" s="24" t="s">
        <v>415</v>
      </c>
      <c r="B6" s="23">
        <v>145</v>
      </c>
      <c r="C6" s="23" t="s">
        <v>416</v>
      </c>
      <c r="D6" s="23">
        <v>2.4</v>
      </c>
      <c r="E6" s="23">
        <v>14.2</v>
      </c>
      <c r="F6" s="23">
        <v>29</v>
      </c>
      <c r="G6" s="23">
        <v>255</v>
      </c>
      <c r="H6" s="23" t="s">
        <v>417</v>
      </c>
      <c r="I6" s="25" t="s">
        <v>418</v>
      </c>
      <c r="J6">
        <v>149</v>
      </c>
      <c r="K6" s="1">
        <f t="shared" si="0"/>
        <v>14.197911989503817</v>
      </c>
      <c r="L6" s="2" t="s">
        <v>117</v>
      </c>
    </row>
    <row r="7" spans="1:12" ht="25.5">
      <c r="A7" s="24" t="s">
        <v>415</v>
      </c>
      <c r="B7" s="23">
        <v>145</v>
      </c>
      <c r="C7" s="23" t="s">
        <v>419</v>
      </c>
      <c r="D7" s="23">
        <v>2.4</v>
      </c>
      <c r="E7" s="23">
        <v>14.2</v>
      </c>
      <c r="F7" s="23">
        <v>29</v>
      </c>
      <c r="G7" s="23">
        <v>255</v>
      </c>
      <c r="H7" s="23" t="s">
        <v>417</v>
      </c>
      <c r="I7" s="25" t="s">
        <v>420</v>
      </c>
      <c r="J7">
        <v>170</v>
      </c>
      <c r="K7" s="1">
        <f t="shared" si="0"/>
        <v>16.201728783396945</v>
      </c>
      <c r="L7" s="2" t="s">
        <v>119</v>
      </c>
    </row>
    <row r="8" spans="1:12" ht="12.75">
      <c r="A8" s="30" t="s">
        <v>413</v>
      </c>
      <c r="B8" s="124">
        <v>146</v>
      </c>
      <c r="C8" s="124" t="s">
        <v>414</v>
      </c>
      <c r="D8" s="124" t="s">
        <v>414</v>
      </c>
      <c r="E8" s="124">
        <v>14.3</v>
      </c>
      <c r="F8" s="124">
        <v>29.2</v>
      </c>
      <c r="G8" s="124">
        <v>300</v>
      </c>
      <c r="H8" s="124" t="s">
        <v>414</v>
      </c>
      <c r="I8" s="126" t="s">
        <v>414</v>
      </c>
      <c r="J8">
        <v>176</v>
      </c>
      <c r="K8" s="1">
        <f t="shared" si="0"/>
        <v>16.774247867366412</v>
      </c>
      <c r="L8" s="2" t="s">
        <v>120</v>
      </c>
    </row>
    <row r="9" spans="1:12" ht="25.5">
      <c r="A9" s="24" t="s">
        <v>116</v>
      </c>
      <c r="B9" s="125"/>
      <c r="C9" s="125"/>
      <c r="D9" s="125"/>
      <c r="E9" s="125"/>
      <c r="F9" s="125"/>
      <c r="G9" s="125"/>
      <c r="H9" s="125"/>
      <c r="I9" s="127"/>
      <c r="J9">
        <v>178</v>
      </c>
      <c r="K9" s="1">
        <f t="shared" si="0"/>
        <v>16.9650875620229</v>
      </c>
      <c r="L9" s="2" t="s">
        <v>121</v>
      </c>
    </row>
    <row r="10" spans="1:12" ht="12.75">
      <c r="A10" s="30" t="s">
        <v>421</v>
      </c>
      <c r="B10" s="124">
        <v>147</v>
      </c>
      <c r="C10" s="124" t="s">
        <v>414</v>
      </c>
      <c r="D10" s="124" t="s">
        <v>414</v>
      </c>
      <c r="E10" s="124">
        <v>14.4</v>
      </c>
      <c r="F10" s="124">
        <v>29.4</v>
      </c>
      <c r="G10" s="124">
        <v>270</v>
      </c>
      <c r="H10" s="124" t="s">
        <v>422</v>
      </c>
      <c r="I10" s="126" t="s">
        <v>423</v>
      </c>
      <c r="J10">
        <v>185</v>
      </c>
      <c r="K10" s="1">
        <f t="shared" si="0"/>
        <v>17.63302649332061</v>
      </c>
      <c r="L10" s="2" t="s">
        <v>122</v>
      </c>
    </row>
    <row r="11" spans="1:12" ht="12.75">
      <c r="A11" s="24">
        <v>5207007</v>
      </c>
      <c r="B11" s="125"/>
      <c r="C11" s="125"/>
      <c r="D11" s="125"/>
      <c r="E11" s="125"/>
      <c r="F11" s="125"/>
      <c r="G11" s="125"/>
      <c r="H11" s="125"/>
      <c r="I11" s="127"/>
      <c r="J11">
        <v>189</v>
      </c>
      <c r="K11" s="1">
        <f t="shared" si="0"/>
        <v>18.01470588263359</v>
      </c>
      <c r="L11" s="2" t="s">
        <v>123</v>
      </c>
    </row>
    <row r="12" spans="1:12" ht="12.75">
      <c r="A12" s="30" t="s">
        <v>421</v>
      </c>
      <c r="B12" s="124">
        <v>147</v>
      </c>
      <c r="C12" s="124" t="s">
        <v>414</v>
      </c>
      <c r="D12" s="124" t="s">
        <v>414</v>
      </c>
      <c r="E12" s="124">
        <v>14.4</v>
      </c>
      <c r="F12" s="124">
        <v>29.4</v>
      </c>
      <c r="G12" s="124">
        <v>300</v>
      </c>
      <c r="H12" s="124" t="s">
        <v>414</v>
      </c>
      <c r="I12" s="126" t="s">
        <v>424</v>
      </c>
      <c r="J12">
        <v>236</v>
      </c>
      <c r="K12" s="1">
        <f t="shared" si="0"/>
        <v>22.499438707061067</v>
      </c>
      <c r="L12" s="2" t="s">
        <v>124</v>
      </c>
    </row>
    <row r="13" spans="1:15" ht="12.75">
      <c r="A13" s="24">
        <v>5206003</v>
      </c>
      <c r="B13" s="125"/>
      <c r="C13" s="125"/>
      <c r="D13" s="125"/>
      <c r="E13" s="125"/>
      <c r="F13" s="125"/>
      <c r="G13" s="125"/>
      <c r="H13" s="125"/>
      <c r="I13" s="127"/>
      <c r="J13">
        <v>236</v>
      </c>
      <c r="K13">
        <v>22</v>
      </c>
      <c r="L13" t="s">
        <v>984</v>
      </c>
      <c r="M13" t="s">
        <v>985</v>
      </c>
      <c r="N13">
        <v>14</v>
      </c>
      <c r="O13" t="s">
        <v>986</v>
      </c>
    </row>
    <row r="14" spans="1:9" ht="12.75">
      <c r="A14" s="30" t="s">
        <v>413</v>
      </c>
      <c r="B14" s="124">
        <v>149</v>
      </c>
      <c r="C14" s="124" t="s">
        <v>414</v>
      </c>
      <c r="D14" s="124" t="s">
        <v>414</v>
      </c>
      <c r="E14" s="124">
        <v>14.6</v>
      </c>
      <c r="F14" s="124">
        <v>29.8</v>
      </c>
      <c r="G14" s="124">
        <v>300</v>
      </c>
      <c r="H14" s="124" t="s">
        <v>414</v>
      </c>
      <c r="I14" s="126" t="s">
        <v>414</v>
      </c>
    </row>
    <row r="15" spans="1:9" ht="25.5">
      <c r="A15" s="24" t="s">
        <v>117</v>
      </c>
      <c r="B15" s="125"/>
      <c r="C15" s="125"/>
      <c r="D15" s="125"/>
      <c r="E15" s="125"/>
      <c r="F15" s="125"/>
      <c r="G15" s="125"/>
      <c r="H15" s="125"/>
      <c r="I15" s="127"/>
    </row>
    <row r="16" spans="1:9" ht="25.5" customHeight="1">
      <c r="A16" s="124" t="s">
        <v>415</v>
      </c>
      <c r="B16" s="124">
        <v>155</v>
      </c>
      <c r="C16" s="21" t="s">
        <v>425</v>
      </c>
      <c r="D16" s="124">
        <v>13.8</v>
      </c>
      <c r="E16" s="124">
        <v>15.2</v>
      </c>
      <c r="F16" s="124">
        <v>31</v>
      </c>
      <c r="G16" s="124">
        <v>290</v>
      </c>
      <c r="H16" s="124" t="s">
        <v>417</v>
      </c>
      <c r="I16" s="126" t="s">
        <v>427</v>
      </c>
    </row>
    <row r="17" spans="1:9" ht="12.75">
      <c r="A17" s="125"/>
      <c r="B17" s="125"/>
      <c r="C17" s="23" t="s">
        <v>426</v>
      </c>
      <c r="D17" s="125"/>
      <c r="E17" s="125"/>
      <c r="F17" s="125"/>
      <c r="G17" s="125"/>
      <c r="H17" s="125"/>
      <c r="I17" s="127"/>
    </row>
    <row r="18" spans="1:9" ht="25.5">
      <c r="A18" s="24" t="s">
        <v>415</v>
      </c>
      <c r="B18" s="23">
        <v>155</v>
      </c>
      <c r="C18" s="23" t="s">
        <v>428</v>
      </c>
      <c r="D18" s="23">
        <v>13.8</v>
      </c>
      <c r="E18" s="23">
        <v>15.2</v>
      </c>
      <c r="F18" s="23">
        <v>31</v>
      </c>
      <c r="G18" s="23">
        <v>290</v>
      </c>
      <c r="H18" s="23" t="s">
        <v>417</v>
      </c>
      <c r="I18" s="25" t="s">
        <v>429</v>
      </c>
    </row>
    <row r="19" spans="1:9" ht="12.75">
      <c r="A19" s="24" t="s">
        <v>415</v>
      </c>
      <c r="B19" s="23">
        <v>155</v>
      </c>
      <c r="C19" s="23" t="s">
        <v>430</v>
      </c>
      <c r="D19" s="23">
        <v>13.8</v>
      </c>
      <c r="E19" s="23">
        <v>15.2</v>
      </c>
      <c r="F19" s="23">
        <v>31</v>
      </c>
      <c r="G19" s="23">
        <v>290</v>
      </c>
      <c r="H19" s="23" t="s">
        <v>417</v>
      </c>
      <c r="I19" s="25" t="s">
        <v>431</v>
      </c>
    </row>
    <row r="20" spans="1:9" ht="12.75">
      <c r="A20" s="24" t="s">
        <v>415</v>
      </c>
      <c r="B20" s="23">
        <v>155</v>
      </c>
      <c r="C20" s="23" t="s">
        <v>428</v>
      </c>
      <c r="D20" s="23">
        <v>13.8</v>
      </c>
      <c r="E20" s="23">
        <v>15.2</v>
      </c>
      <c r="F20" s="23">
        <v>31</v>
      </c>
      <c r="G20" s="23">
        <v>290</v>
      </c>
      <c r="H20" s="23" t="s">
        <v>417</v>
      </c>
      <c r="I20" s="25" t="s">
        <v>432</v>
      </c>
    </row>
    <row r="21" spans="1:9" ht="12.75">
      <c r="A21" s="30" t="s">
        <v>421</v>
      </c>
      <c r="B21" s="124">
        <v>164</v>
      </c>
      <c r="C21" s="124" t="s">
        <v>414</v>
      </c>
      <c r="D21" s="124" t="s">
        <v>414</v>
      </c>
      <c r="E21" s="124">
        <v>16.1</v>
      </c>
      <c r="F21" s="124">
        <v>32.8</v>
      </c>
      <c r="G21" s="124">
        <v>300</v>
      </c>
      <c r="H21" s="124" t="s">
        <v>433</v>
      </c>
      <c r="I21" s="126">
        <v>3</v>
      </c>
    </row>
    <row r="22" spans="1:9" ht="12.75">
      <c r="A22" s="24">
        <v>5207003</v>
      </c>
      <c r="B22" s="125"/>
      <c r="C22" s="125"/>
      <c r="D22" s="125"/>
      <c r="E22" s="125"/>
      <c r="F22" s="125"/>
      <c r="G22" s="125"/>
      <c r="H22" s="125"/>
      <c r="I22" s="127"/>
    </row>
    <row r="23" spans="1:9" ht="12.75">
      <c r="A23" s="30" t="s">
        <v>421</v>
      </c>
      <c r="B23" s="124">
        <v>164</v>
      </c>
      <c r="C23" s="124" t="s">
        <v>414</v>
      </c>
      <c r="D23" s="124" t="s">
        <v>414</v>
      </c>
      <c r="E23" s="124">
        <v>16.1</v>
      </c>
      <c r="F23" s="124">
        <v>32.8</v>
      </c>
      <c r="G23" s="124">
        <v>250</v>
      </c>
      <c r="H23" s="124" t="s">
        <v>434</v>
      </c>
      <c r="I23" s="126" t="s">
        <v>414</v>
      </c>
    </row>
    <row r="24" spans="1:9" ht="12.75">
      <c r="A24" s="24">
        <v>5208006</v>
      </c>
      <c r="B24" s="125"/>
      <c r="C24" s="125"/>
      <c r="D24" s="125"/>
      <c r="E24" s="125"/>
      <c r="F24" s="125"/>
      <c r="G24" s="125"/>
      <c r="H24" s="125"/>
      <c r="I24" s="127"/>
    </row>
    <row r="25" spans="1:9" ht="12.75">
      <c r="A25" s="30" t="s">
        <v>413</v>
      </c>
      <c r="B25" s="124">
        <v>170</v>
      </c>
      <c r="C25" s="124" t="s">
        <v>414</v>
      </c>
      <c r="D25" s="124" t="s">
        <v>414</v>
      </c>
      <c r="E25" s="124">
        <v>16.7</v>
      </c>
      <c r="F25" s="124">
        <v>34</v>
      </c>
      <c r="G25" s="124">
        <v>300</v>
      </c>
      <c r="H25" s="124" t="s">
        <v>414</v>
      </c>
      <c r="I25" s="126" t="s">
        <v>414</v>
      </c>
    </row>
    <row r="26" spans="1:9" ht="12.75">
      <c r="A26" s="24" t="s">
        <v>119</v>
      </c>
      <c r="B26" s="125"/>
      <c r="C26" s="125"/>
      <c r="D26" s="125"/>
      <c r="E26" s="125"/>
      <c r="F26" s="125"/>
      <c r="G26" s="125"/>
      <c r="H26" s="125"/>
      <c r="I26" s="127"/>
    </row>
    <row r="27" spans="1:9" ht="12.75">
      <c r="A27" s="30" t="s">
        <v>413</v>
      </c>
      <c r="B27" s="124">
        <v>176</v>
      </c>
      <c r="C27" s="124" t="s">
        <v>414</v>
      </c>
      <c r="D27" s="124" t="s">
        <v>414</v>
      </c>
      <c r="E27" s="124">
        <v>17.3</v>
      </c>
      <c r="F27" s="124">
        <v>35.2</v>
      </c>
      <c r="G27" s="124">
        <v>300</v>
      </c>
      <c r="H27" s="124" t="s">
        <v>435</v>
      </c>
      <c r="I27" s="126" t="s">
        <v>436</v>
      </c>
    </row>
    <row r="28" spans="1:9" ht="12.75">
      <c r="A28" s="24" t="s">
        <v>120</v>
      </c>
      <c r="B28" s="125"/>
      <c r="C28" s="125"/>
      <c r="D28" s="125"/>
      <c r="E28" s="125"/>
      <c r="F28" s="125"/>
      <c r="G28" s="125"/>
      <c r="H28" s="125"/>
      <c r="I28" s="127"/>
    </row>
    <row r="29" spans="1:9" ht="12.75">
      <c r="A29" s="24" t="s">
        <v>415</v>
      </c>
      <c r="B29" s="23">
        <v>176</v>
      </c>
      <c r="C29" s="23" t="s">
        <v>416</v>
      </c>
      <c r="D29" s="23">
        <v>13.8</v>
      </c>
      <c r="E29" s="23">
        <v>17.3</v>
      </c>
      <c r="F29" s="23">
        <v>35.2</v>
      </c>
      <c r="G29" s="23">
        <v>290</v>
      </c>
      <c r="H29" s="23" t="s">
        <v>417</v>
      </c>
      <c r="I29" s="25" t="s">
        <v>432</v>
      </c>
    </row>
    <row r="30" spans="1:9" ht="12.75">
      <c r="A30" s="24" t="s">
        <v>415</v>
      </c>
      <c r="B30" s="23">
        <v>176</v>
      </c>
      <c r="C30" s="23" t="s">
        <v>437</v>
      </c>
      <c r="D30" s="23">
        <v>13.8</v>
      </c>
      <c r="E30" s="23">
        <v>17.3</v>
      </c>
      <c r="F30" s="23">
        <v>35.2</v>
      </c>
      <c r="G30" s="23">
        <v>290</v>
      </c>
      <c r="H30" s="23" t="s">
        <v>417</v>
      </c>
      <c r="I30" s="25" t="s">
        <v>432</v>
      </c>
    </row>
    <row r="31" spans="1:9" ht="12.75">
      <c r="A31" s="30" t="s">
        <v>413</v>
      </c>
      <c r="B31" s="124">
        <v>178</v>
      </c>
      <c r="C31" s="124" t="s">
        <v>414</v>
      </c>
      <c r="D31" s="124" t="s">
        <v>414</v>
      </c>
      <c r="E31" s="124">
        <v>17.5</v>
      </c>
      <c r="F31" s="124">
        <v>35.6</v>
      </c>
      <c r="G31" s="124" t="s">
        <v>414</v>
      </c>
      <c r="H31" s="124" t="s">
        <v>414</v>
      </c>
      <c r="I31" s="126" t="s">
        <v>414</v>
      </c>
    </row>
    <row r="32" spans="1:9" ht="12.75">
      <c r="A32" s="24" t="s">
        <v>121</v>
      </c>
      <c r="B32" s="125"/>
      <c r="C32" s="125"/>
      <c r="D32" s="125"/>
      <c r="E32" s="125"/>
      <c r="F32" s="125"/>
      <c r="G32" s="125"/>
      <c r="H32" s="125"/>
      <c r="I32" s="127"/>
    </row>
    <row r="33" spans="1:9" ht="12.75">
      <c r="A33" s="24" t="s">
        <v>415</v>
      </c>
      <c r="B33" s="23">
        <v>182</v>
      </c>
      <c r="C33" s="23" t="s">
        <v>438</v>
      </c>
      <c r="D33" s="23">
        <v>2</v>
      </c>
      <c r="E33" s="23">
        <v>17.8</v>
      </c>
      <c r="F33" s="23">
        <v>36.4</v>
      </c>
      <c r="G33" s="23">
        <v>255</v>
      </c>
      <c r="H33" s="23" t="s">
        <v>417</v>
      </c>
      <c r="I33" s="25" t="s">
        <v>439</v>
      </c>
    </row>
    <row r="34" spans="1:9" ht="25.5">
      <c r="A34" s="24" t="s">
        <v>415</v>
      </c>
      <c r="B34" s="23">
        <v>182</v>
      </c>
      <c r="C34" s="23" t="s">
        <v>437</v>
      </c>
      <c r="D34" s="23">
        <v>2.4</v>
      </c>
      <c r="E34" s="23">
        <v>17.8</v>
      </c>
      <c r="F34" s="23">
        <v>36.4</v>
      </c>
      <c r="G34" s="23">
        <v>255</v>
      </c>
      <c r="H34" s="23" t="s">
        <v>417</v>
      </c>
      <c r="I34" s="25" t="s">
        <v>440</v>
      </c>
    </row>
    <row r="35" spans="1:9" ht="12.75">
      <c r="A35" s="30" t="s">
        <v>413</v>
      </c>
      <c r="B35" s="124">
        <v>185</v>
      </c>
      <c r="C35" s="124" t="s">
        <v>414</v>
      </c>
      <c r="D35" s="124" t="s">
        <v>414</v>
      </c>
      <c r="E35" s="124">
        <v>18.1</v>
      </c>
      <c r="F35" s="124">
        <v>37</v>
      </c>
      <c r="G35" s="124" t="s">
        <v>414</v>
      </c>
      <c r="H35" s="124" t="s">
        <v>414</v>
      </c>
      <c r="I35" s="126" t="s">
        <v>414</v>
      </c>
    </row>
    <row r="36" spans="1:9" ht="12.75">
      <c r="A36" s="24" t="s">
        <v>122</v>
      </c>
      <c r="B36" s="125"/>
      <c r="C36" s="125"/>
      <c r="D36" s="125"/>
      <c r="E36" s="125"/>
      <c r="F36" s="125"/>
      <c r="G36" s="125"/>
      <c r="H36" s="125"/>
      <c r="I36" s="127"/>
    </row>
    <row r="37" spans="1:9" ht="12.75">
      <c r="A37" s="30" t="s">
        <v>413</v>
      </c>
      <c r="B37" s="124">
        <v>185</v>
      </c>
      <c r="C37" s="124" t="s">
        <v>414</v>
      </c>
      <c r="D37" s="124" t="s">
        <v>414</v>
      </c>
      <c r="E37" s="124">
        <v>18.1</v>
      </c>
      <c r="F37" s="124">
        <v>37</v>
      </c>
      <c r="G37" s="124">
        <v>300</v>
      </c>
      <c r="H37" s="124" t="s">
        <v>414</v>
      </c>
      <c r="I37" s="126" t="s">
        <v>414</v>
      </c>
    </row>
    <row r="38" spans="1:9" ht="12.75">
      <c r="A38" s="24" t="s">
        <v>441</v>
      </c>
      <c r="B38" s="125"/>
      <c r="C38" s="125"/>
      <c r="D38" s="125"/>
      <c r="E38" s="125"/>
      <c r="F38" s="125"/>
      <c r="G38" s="125"/>
      <c r="H38" s="125"/>
      <c r="I38" s="127"/>
    </row>
    <row r="39" spans="1:9" ht="12.75">
      <c r="A39" s="30" t="s">
        <v>413</v>
      </c>
      <c r="B39" s="124">
        <v>185</v>
      </c>
      <c r="C39" s="124" t="s">
        <v>414</v>
      </c>
      <c r="D39" s="124" t="s">
        <v>414</v>
      </c>
      <c r="E39" s="124">
        <v>18.1</v>
      </c>
      <c r="F39" s="124">
        <v>37</v>
      </c>
      <c r="G39" s="124" t="s">
        <v>414</v>
      </c>
      <c r="H39" s="124" t="s">
        <v>414</v>
      </c>
      <c r="I39" s="126" t="s">
        <v>414</v>
      </c>
    </row>
    <row r="40" spans="1:9" ht="12.75">
      <c r="A40" s="24" t="s">
        <v>442</v>
      </c>
      <c r="B40" s="125"/>
      <c r="C40" s="125"/>
      <c r="D40" s="125"/>
      <c r="E40" s="125"/>
      <c r="F40" s="125"/>
      <c r="G40" s="125"/>
      <c r="H40" s="125"/>
      <c r="I40" s="127"/>
    </row>
    <row r="41" spans="1:9" ht="12.75">
      <c r="A41" s="30" t="s">
        <v>413</v>
      </c>
      <c r="B41" s="124">
        <v>185</v>
      </c>
      <c r="C41" s="124" t="s">
        <v>414</v>
      </c>
      <c r="D41" s="124" t="s">
        <v>414</v>
      </c>
      <c r="E41" s="124">
        <v>18.1</v>
      </c>
      <c r="F41" s="124">
        <v>37</v>
      </c>
      <c r="G41" s="124" t="s">
        <v>414</v>
      </c>
      <c r="H41" s="124" t="s">
        <v>414</v>
      </c>
      <c r="I41" s="126" t="s">
        <v>414</v>
      </c>
    </row>
    <row r="42" spans="1:9" ht="12.75">
      <c r="A42" s="24" t="s">
        <v>443</v>
      </c>
      <c r="B42" s="125"/>
      <c r="C42" s="125"/>
      <c r="D42" s="125"/>
      <c r="E42" s="125"/>
      <c r="F42" s="125"/>
      <c r="G42" s="125"/>
      <c r="H42" s="125"/>
      <c r="I42" s="127"/>
    </row>
    <row r="43" spans="1:9" ht="12.75">
      <c r="A43" s="30" t="s">
        <v>413</v>
      </c>
      <c r="B43" s="124">
        <v>188</v>
      </c>
      <c r="C43" s="124" t="s">
        <v>414</v>
      </c>
      <c r="D43" s="124" t="s">
        <v>414</v>
      </c>
      <c r="E43" s="124">
        <v>18.4</v>
      </c>
      <c r="F43" s="124">
        <v>37.6</v>
      </c>
      <c r="G43" s="124" t="s">
        <v>414</v>
      </c>
      <c r="H43" s="124" t="s">
        <v>414</v>
      </c>
      <c r="I43" s="126" t="s">
        <v>414</v>
      </c>
    </row>
    <row r="44" spans="1:9" ht="12.75">
      <c r="A44" s="24" t="s">
        <v>444</v>
      </c>
      <c r="B44" s="125"/>
      <c r="C44" s="125"/>
      <c r="D44" s="125"/>
      <c r="E44" s="125"/>
      <c r="F44" s="125"/>
      <c r="G44" s="125"/>
      <c r="H44" s="125"/>
      <c r="I44" s="127"/>
    </row>
    <row r="45" spans="1:9" ht="12.75">
      <c r="A45" s="30" t="s">
        <v>421</v>
      </c>
      <c r="B45" s="124">
        <v>188</v>
      </c>
      <c r="C45" s="124" t="s">
        <v>414</v>
      </c>
      <c r="D45" s="124" t="s">
        <v>414</v>
      </c>
      <c r="E45" s="124">
        <v>18.4</v>
      </c>
      <c r="F45" s="124">
        <v>37.6</v>
      </c>
      <c r="G45" s="124">
        <v>250</v>
      </c>
      <c r="H45" s="124" t="s">
        <v>445</v>
      </c>
      <c r="I45" s="126" t="s">
        <v>446</v>
      </c>
    </row>
    <row r="46" spans="1:9" ht="12.75">
      <c r="A46" s="24">
        <v>5207002</v>
      </c>
      <c r="B46" s="125"/>
      <c r="C46" s="125"/>
      <c r="D46" s="125"/>
      <c r="E46" s="125"/>
      <c r="F46" s="125"/>
      <c r="G46" s="125"/>
      <c r="H46" s="125"/>
      <c r="I46" s="127"/>
    </row>
    <row r="47" spans="1:9" ht="12.75">
      <c r="A47" s="30" t="s">
        <v>421</v>
      </c>
      <c r="B47" s="124">
        <v>188</v>
      </c>
      <c r="C47" s="124" t="s">
        <v>414</v>
      </c>
      <c r="D47" s="124" t="s">
        <v>414</v>
      </c>
      <c r="E47" s="124">
        <v>18.4</v>
      </c>
      <c r="F47" s="124">
        <v>37.6</v>
      </c>
      <c r="G47" s="124">
        <v>250</v>
      </c>
      <c r="H47" s="124" t="s">
        <v>447</v>
      </c>
      <c r="I47" s="126" t="s">
        <v>414</v>
      </c>
    </row>
    <row r="48" spans="1:9" ht="12.75">
      <c r="A48" s="24">
        <v>5204001</v>
      </c>
      <c r="B48" s="125"/>
      <c r="C48" s="125"/>
      <c r="D48" s="125"/>
      <c r="E48" s="125"/>
      <c r="F48" s="125"/>
      <c r="G48" s="125"/>
      <c r="H48" s="125"/>
      <c r="I48" s="127"/>
    </row>
    <row r="49" spans="1:9" ht="12.75">
      <c r="A49" s="30" t="s">
        <v>421</v>
      </c>
      <c r="B49" s="124">
        <v>188</v>
      </c>
      <c r="C49" s="124" t="s">
        <v>414</v>
      </c>
      <c r="D49" s="124" t="s">
        <v>414</v>
      </c>
      <c r="E49" s="124">
        <v>18.4</v>
      </c>
      <c r="F49" s="124">
        <v>37.6</v>
      </c>
      <c r="G49" s="124">
        <v>250</v>
      </c>
      <c r="H49" s="124" t="s">
        <v>448</v>
      </c>
      <c r="I49" s="126" t="s">
        <v>414</v>
      </c>
    </row>
    <row r="50" spans="1:9" ht="12.75">
      <c r="A50" s="24">
        <v>5208003</v>
      </c>
      <c r="B50" s="125"/>
      <c r="C50" s="125"/>
      <c r="D50" s="125"/>
      <c r="E50" s="125"/>
      <c r="F50" s="125"/>
      <c r="G50" s="125"/>
      <c r="H50" s="125"/>
      <c r="I50" s="127"/>
    </row>
    <row r="51" spans="1:9" ht="12.75">
      <c r="A51" s="30" t="s">
        <v>421</v>
      </c>
      <c r="B51" s="124">
        <v>188</v>
      </c>
      <c r="C51" s="124" t="s">
        <v>414</v>
      </c>
      <c r="D51" s="124" t="s">
        <v>414</v>
      </c>
      <c r="E51" s="124">
        <v>18.4</v>
      </c>
      <c r="F51" s="124">
        <v>37.6</v>
      </c>
      <c r="G51" s="124">
        <v>250</v>
      </c>
      <c r="H51" s="124" t="s">
        <v>417</v>
      </c>
      <c r="I51" s="126" t="s">
        <v>414</v>
      </c>
    </row>
    <row r="52" spans="1:9" ht="12.75">
      <c r="A52" s="24">
        <v>5206002</v>
      </c>
      <c r="B52" s="125"/>
      <c r="C52" s="125"/>
      <c r="D52" s="125"/>
      <c r="E52" s="125"/>
      <c r="F52" s="125"/>
      <c r="G52" s="125"/>
      <c r="H52" s="125"/>
      <c r="I52" s="127"/>
    </row>
    <row r="53" spans="1:9" ht="12.75">
      <c r="A53" s="30" t="s">
        <v>421</v>
      </c>
      <c r="B53" s="124">
        <v>188</v>
      </c>
      <c r="C53" s="124" t="s">
        <v>414</v>
      </c>
      <c r="D53" s="124" t="s">
        <v>414</v>
      </c>
      <c r="E53" s="124">
        <v>18.4</v>
      </c>
      <c r="F53" s="124">
        <v>37.6</v>
      </c>
      <c r="G53" s="124">
        <v>250</v>
      </c>
      <c r="H53" s="124" t="s">
        <v>118</v>
      </c>
      <c r="I53" s="126" t="s">
        <v>449</v>
      </c>
    </row>
    <row r="54" spans="1:9" ht="12.75">
      <c r="A54" s="24">
        <v>5208007</v>
      </c>
      <c r="B54" s="125"/>
      <c r="C54" s="125"/>
      <c r="D54" s="125"/>
      <c r="E54" s="125"/>
      <c r="F54" s="125"/>
      <c r="G54" s="125"/>
      <c r="H54" s="125"/>
      <c r="I54" s="127"/>
    </row>
    <row r="55" spans="1:9" ht="12.75">
      <c r="A55" s="30" t="s">
        <v>421</v>
      </c>
      <c r="B55" s="124">
        <v>188</v>
      </c>
      <c r="C55" s="124" t="s">
        <v>414</v>
      </c>
      <c r="D55" s="124" t="s">
        <v>414</v>
      </c>
      <c r="E55" s="124">
        <v>18.4</v>
      </c>
      <c r="F55" s="124">
        <v>37.6</v>
      </c>
      <c r="G55" s="124">
        <v>250</v>
      </c>
      <c r="H55" s="124">
        <v>914</v>
      </c>
      <c r="I55" s="126" t="s">
        <v>450</v>
      </c>
    </row>
    <row r="56" spans="1:9" ht="12.75">
      <c r="A56" s="24">
        <v>5202001</v>
      </c>
      <c r="B56" s="125"/>
      <c r="C56" s="125"/>
      <c r="D56" s="125"/>
      <c r="E56" s="125"/>
      <c r="F56" s="125"/>
      <c r="G56" s="125"/>
      <c r="H56" s="125"/>
      <c r="I56" s="127"/>
    </row>
    <row r="57" spans="1:9" ht="12.75">
      <c r="A57" s="30" t="s">
        <v>421</v>
      </c>
      <c r="B57" s="124">
        <v>188</v>
      </c>
      <c r="C57" s="124" t="s">
        <v>414</v>
      </c>
      <c r="D57" s="124" t="s">
        <v>414</v>
      </c>
      <c r="E57" s="124">
        <v>18.4</v>
      </c>
      <c r="F57" s="124">
        <v>37.6</v>
      </c>
      <c r="G57" s="124">
        <v>250</v>
      </c>
      <c r="H57" s="124" t="s">
        <v>451</v>
      </c>
      <c r="I57" s="126" t="s">
        <v>452</v>
      </c>
    </row>
    <row r="58" spans="1:9" ht="12.75">
      <c r="A58" s="24">
        <v>5208001</v>
      </c>
      <c r="B58" s="125"/>
      <c r="C58" s="125"/>
      <c r="D58" s="125"/>
      <c r="E58" s="125"/>
      <c r="F58" s="125"/>
      <c r="G58" s="125"/>
      <c r="H58" s="125"/>
      <c r="I58" s="127"/>
    </row>
    <row r="59" spans="1:9" ht="12.75">
      <c r="A59" s="30" t="s">
        <v>413</v>
      </c>
      <c r="B59" s="124">
        <v>189</v>
      </c>
      <c r="C59" s="124" t="s">
        <v>414</v>
      </c>
      <c r="D59" s="124" t="s">
        <v>414</v>
      </c>
      <c r="E59" s="124">
        <v>18.5</v>
      </c>
      <c r="F59" s="124">
        <v>37.8</v>
      </c>
      <c r="G59" s="124">
        <v>300</v>
      </c>
      <c r="H59" s="124" t="s">
        <v>414</v>
      </c>
      <c r="I59" s="126" t="s">
        <v>414</v>
      </c>
    </row>
    <row r="60" spans="1:9" ht="12.75">
      <c r="A60" s="31" t="s">
        <v>123</v>
      </c>
      <c r="B60" s="125"/>
      <c r="C60" s="125"/>
      <c r="D60" s="125"/>
      <c r="E60" s="125"/>
      <c r="F60" s="125"/>
      <c r="G60" s="125"/>
      <c r="H60" s="125"/>
      <c r="I60" s="127"/>
    </row>
  </sheetData>
  <mergeCells count="200">
    <mergeCell ref="F59:F60"/>
    <mergeCell ref="G59:G60"/>
    <mergeCell ref="H59:H60"/>
    <mergeCell ref="I59:I60"/>
    <mergeCell ref="B59:B60"/>
    <mergeCell ref="C59:C60"/>
    <mergeCell ref="D59:D60"/>
    <mergeCell ref="E59:E60"/>
    <mergeCell ref="F57:F58"/>
    <mergeCell ref="G57:G58"/>
    <mergeCell ref="H57:H58"/>
    <mergeCell ref="I57:I58"/>
    <mergeCell ref="B57:B58"/>
    <mergeCell ref="C57:C58"/>
    <mergeCell ref="D57:D58"/>
    <mergeCell ref="E57:E58"/>
    <mergeCell ref="F55:F56"/>
    <mergeCell ref="G55:G56"/>
    <mergeCell ref="H55:H56"/>
    <mergeCell ref="I55:I56"/>
    <mergeCell ref="B55:B56"/>
    <mergeCell ref="C55:C56"/>
    <mergeCell ref="D55:D56"/>
    <mergeCell ref="E55:E56"/>
    <mergeCell ref="F53:F54"/>
    <mergeCell ref="G53:G54"/>
    <mergeCell ref="H53:H54"/>
    <mergeCell ref="I53:I54"/>
    <mergeCell ref="B53:B54"/>
    <mergeCell ref="C53:C54"/>
    <mergeCell ref="D53:D54"/>
    <mergeCell ref="E53:E54"/>
    <mergeCell ref="F51:F52"/>
    <mergeCell ref="G51:G52"/>
    <mergeCell ref="H51:H52"/>
    <mergeCell ref="I51:I52"/>
    <mergeCell ref="B51:B52"/>
    <mergeCell ref="C51:C52"/>
    <mergeCell ref="D51:D52"/>
    <mergeCell ref="E51:E52"/>
    <mergeCell ref="F49:F50"/>
    <mergeCell ref="G49:G50"/>
    <mergeCell ref="H49:H50"/>
    <mergeCell ref="I49:I50"/>
    <mergeCell ref="B49:B50"/>
    <mergeCell ref="C49:C50"/>
    <mergeCell ref="D49:D50"/>
    <mergeCell ref="E49:E50"/>
    <mergeCell ref="F47:F48"/>
    <mergeCell ref="G47:G48"/>
    <mergeCell ref="H47:H48"/>
    <mergeCell ref="I47:I48"/>
    <mergeCell ref="B47:B48"/>
    <mergeCell ref="C47:C48"/>
    <mergeCell ref="D47:D48"/>
    <mergeCell ref="E47:E48"/>
    <mergeCell ref="F45:F46"/>
    <mergeCell ref="G45:G46"/>
    <mergeCell ref="H45:H46"/>
    <mergeCell ref="I45:I46"/>
    <mergeCell ref="B45:B46"/>
    <mergeCell ref="C45:C46"/>
    <mergeCell ref="D45:D46"/>
    <mergeCell ref="E45:E46"/>
    <mergeCell ref="F43:F44"/>
    <mergeCell ref="G43:G44"/>
    <mergeCell ref="H43:H44"/>
    <mergeCell ref="I43:I44"/>
    <mergeCell ref="B43:B44"/>
    <mergeCell ref="C43:C44"/>
    <mergeCell ref="D43:D44"/>
    <mergeCell ref="E43:E44"/>
    <mergeCell ref="F41:F42"/>
    <mergeCell ref="G41:G42"/>
    <mergeCell ref="H41:H42"/>
    <mergeCell ref="I41:I42"/>
    <mergeCell ref="B41:B42"/>
    <mergeCell ref="C41:C42"/>
    <mergeCell ref="D41:D42"/>
    <mergeCell ref="E41:E42"/>
    <mergeCell ref="F39:F40"/>
    <mergeCell ref="G39:G40"/>
    <mergeCell ref="H39:H40"/>
    <mergeCell ref="I39:I40"/>
    <mergeCell ref="B39:B40"/>
    <mergeCell ref="C39:C40"/>
    <mergeCell ref="D39:D40"/>
    <mergeCell ref="E39:E40"/>
    <mergeCell ref="F37:F38"/>
    <mergeCell ref="G37:G38"/>
    <mergeCell ref="H37:H38"/>
    <mergeCell ref="I37:I38"/>
    <mergeCell ref="B37:B38"/>
    <mergeCell ref="C37:C38"/>
    <mergeCell ref="D37:D38"/>
    <mergeCell ref="E37:E38"/>
    <mergeCell ref="F35:F36"/>
    <mergeCell ref="G35:G36"/>
    <mergeCell ref="H35:H36"/>
    <mergeCell ref="I35:I36"/>
    <mergeCell ref="B35:B36"/>
    <mergeCell ref="C35:C36"/>
    <mergeCell ref="D35:D36"/>
    <mergeCell ref="E35:E36"/>
    <mergeCell ref="F31:F32"/>
    <mergeCell ref="G31:G32"/>
    <mergeCell ref="H31:H32"/>
    <mergeCell ref="I31:I32"/>
    <mergeCell ref="B31:B32"/>
    <mergeCell ref="C31:C32"/>
    <mergeCell ref="D31:D32"/>
    <mergeCell ref="E31:E32"/>
    <mergeCell ref="F27:F28"/>
    <mergeCell ref="G27:G28"/>
    <mergeCell ref="H27:H28"/>
    <mergeCell ref="I27:I28"/>
    <mergeCell ref="B27:B28"/>
    <mergeCell ref="C27:C28"/>
    <mergeCell ref="D27:D28"/>
    <mergeCell ref="E27:E28"/>
    <mergeCell ref="F25:F26"/>
    <mergeCell ref="G25:G26"/>
    <mergeCell ref="H25:H26"/>
    <mergeCell ref="I25:I26"/>
    <mergeCell ref="B25:B26"/>
    <mergeCell ref="C25:C26"/>
    <mergeCell ref="D25:D26"/>
    <mergeCell ref="E25:E26"/>
    <mergeCell ref="F23:F24"/>
    <mergeCell ref="G23:G24"/>
    <mergeCell ref="H23:H24"/>
    <mergeCell ref="I23:I24"/>
    <mergeCell ref="B23:B24"/>
    <mergeCell ref="C23:C24"/>
    <mergeCell ref="D23:D24"/>
    <mergeCell ref="E23:E24"/>
    <mergeCell ref="F21:F22"/>
    <mergeCell ref="G21:G22"/>
    <mergeCell ref="H21:H22"/>
    <mergeCell ref="I21:I22"/>
    <mergeCell ref="B21:B22"/>
    <mergeCell ref="C21:C22"/>
    <mergeCell ref="D21:D22"/>
    <mergeCell ref="E21:E22"/>
    <mergeCell ref="F16:F17"/>
    <mergeCell ref="G16:G17"/>
    <mergeCell ref="H16:H17"/>
    <mergeCell ref="I16:I17"/>
    <mergeCell ref="A16:A17"/>
    <mergeCell ref="B16:B17"/>
    <mergeCell ref="D16:D17"/>
    <mergeCell ref="E16:E17"/>
    <mergeCell ref="F14:F15"/>
    <mergeCell ref="G14:G15"/>
    <mergeCell ref="H14:H15"/>
    <mergeCell ref="I14:I15"/>
    <mergeCell ref="B14:B15"/>
    <mergeCell ref="C14:C15"/>
    <mergeCell ref="D14:D15"/>
    <mergeCell ref="E14:E15"/>
    <mergeCell ref="F12:F13"/>
    <mergeCell ref="G12:G13"/>
    <mergeCell ref="H12:H13"/>
    <mergeCell ref="I12:I13"/>
    <mergeCell ref="B12:B13"/>
    <mergeCell ref="C12:C13"/>
    <mergeCell ref="D12:D13"/>
    <mergeCell ref="E12:E13"/>
    <mergeCell ref="F10:F11"/>
    <mergeCell ref="G10:G11"/>
    <mergeCell ref="H10:H11"/>
    <mergeCell ref="I10:I11"/>
    <mergeCell ref="B10:B11"/>
    <mergeCell ref="C10:C11"/>
    <mergeCell ref="D10:D11"/>
    <mergeCell ref="E10:E11"/>
    <mergeCell ref="F8:F9"/>
    <mergeCell ref="G8:G9"/>
    <mergeCell ref="H8:H9"/>
    <mergeCell ref="I8:I9"/>
    <mergeCell ref="B8:B9"/>
    <mergeCell ref="C8:C9"/>
    <mergeCell ref="D8:D9"/>
    <mergeCell ref="E8:E9"/>
    <mergeCell ref="B4:B5"/>
    <mergeCell ref="C4:C5"/>
    <mergeCell ref="D4:D5"/>
    <mergeCell ref="E4:E5"/>
    <mergeCell ref="F4:F5"/>
    <mergeCell ref="G4:G5"/>
    <mergeCell ref="H4:H5"/>
    <mergeCell ref="I4:I5"/>
    <mergeCell ref="A1:K1"/>
    <mergeCell ref="B2:B3"/>
    <mergeCell ref="C2:C3"/>
    <mergeCell ref="D2:D3"/>
    <mergeCell ref="E2:E3"/>
    <mergeCell ref="F2:F3"/>
    <mergeCell ref="H2:H3"/>
    <mergeCell ref="I2:I3"/>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3:J810"/>
  <sheetViews>
    <sheetView zoomScale="94" zoomScaleNormal="94" workbookViewId="0" topLeftCell="A245">
      <selection activeCell="C256" sqref="C256"/>
    </sheetView>
  </sheetViews>
  <sheetFormatPr defaultColWidth="9.140625" defaultRowHeight="12.75"/>
  <cols>
    <col min="1" max="1" width="29.57421875" style="19" customWidth="1"/>
    <col min="2" max="2" width="14.57421875" style="19" customWidth="1"/>
    <col min="3" max="3" width="22.7109375" style="19" customWidth="1"/>
    <col min="4" max="4" width="21.421875" style="19" customWidth="1"/>
    <col min="5" max="5" width="19.00390625" style="19" customWidth="1"/>
    <col min="6" max="6" width="18.00390625" style="19" customWidth="1"/>
    <col min="7" max="7" width="25.8515625" style="19" customWidth="1"/>
  </cols>
  <sheetData>
    <row r="3" spans="1:6" ht="12.75">
      <c r="A3" s="19" t="s">
        <v>168</v>
      </c>
      <c r="F3" s="19" t="s">
        <v>169</v>
      </c>
    </row>
    <row r="5" spans="1:4" ht="25.5">
      <c r="A5" s="19" t="s">
        <v>170</v>
      </c>
      <c r="D5" s="19" t="s">
        <v>171</v>
      </c>
    </row>
    <row r="6" spans="1:5" ht="38.25">
      <c r="A6" s="19" t="s">
        <v>172</v>
      </c>
      <c r="B6" s="19" t="s">
        <v>173</v>
      </c>
      <c r="E6" s="19" t="s">
        <v>174</v>
      </c>
    </row>
    <row r="7" spans="1:5" ht="38.25">
      <c r="A7" s="19" t="s">
        <v>175</v>
      </c>
      <c r="B7" s="19" t="s">
        <v>173</v>
      </c>
      <c r="E7" s="19" t="s">
        <v>174</v>
      </c>
    </row>
    <row r="8" spans="1:5" ht="38.25">
      <c r="A8" s="19" t="s">
        <v>176</v>
      </c>
      <c r="B8" s="19" t="s">
        <v>173</v>
      </c>
      <c r="E8" s="19" t="s">
        <v>174</v>
      </c>
    </row>
    <row r="9" spans="1:5" ht="38.25">
      <c r="A9" s="19" t="s">
        <v>177</v>
      </c>
      <c r="B9" s="19" t="s">
        <v>173</v>
      </c>
      <c r="E9" s="19" t="s">
        <v>174</v>
      </c>
    </row>
    <row r="10" spans="1:5" ht="38.25">
      <c r="A10" s="19" t="s">
        <v>178</v>
      </c>
      <c r="B10" s="19" t="s">
        <v>173</v>
      </c>
      <c r="E10" s="19" t="s">
        <v>174</v>
      </c>
    </row>
    <row r="11" spans="1:5" ht="38.25">
      <c r="A11" s="19" t="s">
        <v>179</v>
      </c>
      <c r="B11" s="19" t="s">
        <v>173</v>
      </c>
      <c r="E11" s="19" t="s">
        <v>174</v>
      </c>
    </row>
    <row r="15" spans="1:6" ht="12.75">
      <c r="A15" s="19" t="s">
        <v>180</v>
      </c>
      <c r="F15" s="19" t="s">
        <v>169</v>
      </c>
    </row>
    <row r="17" spans="1:3" ht="25.5">
      <c r="A17" s="19" t="s">
        <v>181</v>
      </c>
      <c r="C17" s="19" t="s">
        <v>182</v>
      </c>
    </row>
    <row r="18" spans="1:3" ht="25.5">
      <c r="A18" s="19" t="s">
        <v>183</v>
      </c>
      <c r="C18" s="19" t="s">
        <v>184</v>
      </c>
    </row>
    <row r="22" spans="1:6" ht="12.75">
      <c r="A22" s="19" t="s">
        <v>185</v>
      </c>
      <c r="B22" s="19" t="s">
        <v>186</v>
      </c>
      <c r="E22" s="19" t="s">
        <v>187</v>
      </c>
      <c r="F22" s="19" t="s">
        <v>169</v>
      </c>
    </row>
    <row r="24" spans="1:3" ht="51">
      <c r="A24" s="19" t="s">
        <v>188</v>
      </c>
      <c r="C24" s="19" t="s">
        <v>189</v>
      </c>
    </row>
    <row r="25" spans="1:3" ht="25.5">
      <c r="A25" s="19" t="s">
        <v>190</v>
      </c>
      <c r="C25" s="19" t="s">
        <v>191</v>
      </c>
    </row>
    <row r="26" spans="1:3" ht="25.5">
      <c r="A26" s="19" t="s">
        <v>192</v>
      </c>
      <c r="C26" s="19" t="s">
        <v>191</v>
      </c>
    </row>
    <row r="27" spans="1:3" ht="38.25">
      <c r="A27" s="19" t="s">
        <v>193</v>
      </c>
      <c r="C27" s="19" t="s">
        <v>194</v>
      </c>
    </row>
    <row r="28" spans="1:3" ht="51">
      <c r="A28" s="19" t="s">
        <v>195</v>
      </c>
      <c r="C28" s="19" t="s">
        <v>196</v>
      </c>
    </row>
    <row r="29" spans="1:3" ht="38.25">
      <c r="A29" s="19" t="s">
        <v>197</v>
      </c>
      <c r="C29" s="19" t="s">
        <v>198</v>
      </c>
    </row>
    <row r="30" ht="25.5">
      <c r="A30" s="19" t="s">
        <v>199</v>
      </c>
    </row>
    <row r="31" spans="1:3" ht="25.5">
      <c r="A31" s="19" t="s">
        <v>200</v>
      </c>
      <c r="C31" s="19" t="s">
        <v>201</v>
      </c>
    </row>
    <row r="32" spans="1:3" ht="51">
      <c r="A32" s="19" t="s">
        <v>202</v>
      </c>
      <c r="C32" s="19" t="s">
        <v>203</v>
      </c>
    </row>
    <row r="33" spans="1:3" ht="38.25">
      <c r="A33" s="19" t="s">
        <v>204</v>
      </c>
      <c r="C33" s="19" t="s">
        <v>205</v>
      </c>
    </row>
    <row r="34" spans="1:3" ht="25.5">
      <c r="A34" s="19" t="s">
        <v>209</v>
      </c>
      <c r="C34" s="19" t="s">
        <v>210</v>
      </c>
    </row>
    <row r="35" spans="1:3" ht="25.5">
      <c r="A35" s="19" t="s">
        <v>211</v>
      </c>
      <c r="C35" s="19" t="s">
        <v>191</v>
      </c>
    </row>
    <row r="36" spans="1:3" ht="51">
      <c r="A36" s="19" t="s">
        <v>212</v>
      </c>
      <c r="C36" s="19" t="s">
        <v>213</v>
      </c>
    </row>
    <row r="37" spans="1:3" ht="38.25">
      <c r="A37" s="19" t="s">
        <v>214</v>
      </c>
      <c r="C37" s="19" t="s">
        <v>215</v>
      </c>
    </row>
    <row r="38" spans="1:3" ht="38.25">
      <c r="A38" s="19" t="s">
        <v>216</v>
      </c>
      <c r="C38" s="19" t="s">
        <v>217</v>
      </c>
    </row>
    <row r="39" spans="1:3" ht="51">
      <c r="A39" s="19" t="s">
        <v>218</v>
      </c>
      <c r="C39" s="19" t="s">
        <v>219</v>
      </c>
    </row>
    <row r="40" ht="12.75">
      <c r="A40" s="19" t="s">
        <v>220</v>
      </c>
    </row>
    <row r="41" spans="1:3" ht="51">
      <c r="A41" s="19" t="s">
        <v>221</v>
      </c>
      <c r="C41" s="19" t="s">
        <v>222</v>
      </c>
    </row>
    <row r="42" ht="12.75">
      <c r="A42" s="19" t="s">
        <v>220</v>
      </c>
    </row>
    <row r="43" spans="1:3" ht="51">
      <c r="A43" s="19" t="s">
        <v>223</v>
      </c>
      <c r="C43" s="19" t="s">
        <v>224</v>
      </c>
    </row>
    <row r="44" ht="12.75">
      <c r="A44" s="19" t="s">
        <v>225</v>
      </c>
    </row>
    <row r="45" spans="1:3" ht="51">
      <c r="A45" s="19" t="s">
        <v>226</v>
      </c>
      <c r="C45" s="19" t="s">
        <v>227</v>
      </c>
    </row>
    <row r="46" spans="1:3" ht="38.25">
      <c r="A46" s="19" t="s">
        <v>228</v>
      </c>
      <c r="C46" s="19" t="s">
        <v>229</v>
      </c>
    </row>
    <row r="47" spans="1:3" ht="25.5">
      <c r="A47" s="19" t="s">
        <v>230</v>
      </c>
      <c r="C47" s="19" t="s">
        <v>231</v>
      </c>
    </row>
    <row r="48" spans="1:3" ht="25.5">
      <c r="A48" s="19" t="s">
        <v>232</v>
      </c>
      <c r="C48" s="19" t="s">
        <v>233</v>
      </c>
    </row>
    <row r="49" spans="1:3" ht="38.25">
      <c r="A49" s="19" t="s">
        <v>234</v>
      </c>
      <c r="C49" s="19" t="s">
        <v>235</v>
      </c>
    </row>
    <row r="50" spans="1:3" ht="38.25">
      <c r="A50" s="19" t="s">
        <v>236</v>
      </c>
      <c r="C50" s="19" t="s">
        <v>198</v>
      </c>
    </row>
    <row r="51" spans="1:3" ht="25.5">
      <c r="A51" s="19" t="s">
        <v>237</v>
      </c>
      <c r="C51" s="19" t="s">
        <v>238</v>
      </c>
    </row>
    <row r="52" spans="1:3" ht="38.25">
      <c r="A52" s="19" t="s">
        <v>239</v>
      </c>
      <c r="C52" s="19" t="s">
        <v>240</v>
      </c>
    </row>
    <row r="53" spans="1:3" ht="38.25">
      <c r="A53" s="19" t="s">
        <v>241</v>
      </c>
      <c r="C53" s="19" t="s">
        <v>242</v>
      </c>
    </row>
    <row r="54" spans="1:3" ht="38.25">
      <c r="A54" s="19" t="s">
        <v>243</v>
      </c>
      <c r="C54" s="19" t="s">
        <v>244</v>
      </c>
    </row>
    <row r="55" spans="1:3" ht="38.25">
      <c r="A55" s="19" t="s">
        <v>245</v>
      </c>
      <c r="C55" s="19" t="s">
        <v>246</v>
      </c>
    </row>
    <row r="56" spans="1:3" ht="38.25">
      <c r="A56" s="19" t="s">
        <v>247</v>
      </c>
      <c r="C56" s="19" t="s">
        <v>248</v>
      </c>
    </row>
    <row r="57" spans="1:3" ht="38.25">
      <c r="A57" s="19" t="s">
        <v>249</v>
      </c>
      <c r="C57" s="19" t="s">
        <v>250</v>
      </c>
    </row>
    <row r="58" spans="1:3" ht="25.5">
      <c r="A58" s="19" t="s">
        <v>251</v>
      </c>
      <c r="C58" s="19" t="s">
        <v>191</v>
      </c>
    </row>
    <row r="59" spans="1:3" ht="25.5">
      <c r="A59" s="19" t="s">
        <v>252</v>
      </c>
      <c r="C59" s="19" t="s">
        <v>253</v>
      </c>
    </row>
    <row r="60" spans="1:3" ht="25.5">
      <c r="A60" s="19" t="s">
        <v>254</v>
      </c>
      <c r="C60" s="19" t="s">
        <v>253</v>
      </c>
    </row>
    <row r="61" spans="1:3" ht="38.25">
      <c r="A61" s="19" t="s">
        <v>255</v>
      </c>
      <c r="C61" s="19" t="s">
        <v>256</v>
      </c>
    </row>
    <row r="62" spans="1:3" ht="51">
      <c r="A62" s="19" t="s">
        <v>255</v>
      </c>
      <c r="C62" s="19" t="s">
        <v>257</v>
      </c>
    </row>
    <row r="63" spans="1:3" ht="38.25">
      <c r="A63" s="19" t="s">
        <v>255</v>
      </c>
      <c r="C63" s="19" t="s">
        <v>258</v>
      </c>
    </row>
    <row r="64" spans="1:3" ht="25.5">
      <c r="A64" s="19" t="s">
        <v>259</v>
      </c>
      <c r="C64" s="19" t="s">
        <v>253</v>
      </c>
    </row>
    <row r="65" spans="1:3" ht="51">
      <c r="A65" s="19" t="s">
        <v>260</v>
      </c>
      <c r="C65" s="19" t="s">
        <v>261</v>
      </c>
    </row>
    <row r="66" spans="1:3" ht="38.25">
      <c r="A66" s="19" t="s">
        <v>262</v>
      </c>
      <c r="C66" s="19" t="s">
        <v>263</v>
      </c>
    </row>
    <row r="67" spans="1:3" ht="38.25">
      <c r="A67" s="19" t="s">
        <v>264</v>
      </c>
      <c r="C67" s="19" t="s">
        <v>265</v>
      </c>
    </row>
    <row r="68" spans="1:3" ht="38.25">
      <c r="A68" s="19" t="s">
        <v>266</v>
      </c>
      <c r="C68" s="19" t="s">
        <v>267</v>
      </c>
    </row>
    <row r="69" spans="1:3" ht="38.25">
      <c r="A69" s="19" t="s">
        <v>268</v>
      </c>
      <c r="C69" s="19" t="s">
        <v>269</v>
      </c>
    </row>
    <row r="70" spans="1:3" ht="25.5">
      <c r="A70" s="19" t="s">
        <v>270</v>
      </c>
      <c r="C70" s="19" t="s">
        <v>271</v>
      </c>
    </row>
    <row r="71" spans="1:3" ht="51">
      <c r="A71" s="19" t="s">
        <v>272</v>
      </c>
      <c r="C71" s="19" t="s">
        <v>275</v>
      </c>
    </row>
    <row r="72" spans="1:3" ht="38.25">
      <c r="A72" s="19" t="s">
        <v>276</v>
      </c>
      <c r="C72" s="19" t="s">
        <v>277</v>
      </c>
    </row>
    <row r="73" spans="1:5" ht="38.25">
      <c r="A73" s="19" t="s">
        <v>278</v>
      </c>
      <c r="C73" s="19" t="s">
        <v>279</v>
      </c>
      <c r="E73" s="19" t="s">
        <v>280</v>
      </c>
    </row>
    <row r="74" spans="1:3" ht="38.25">
      <c r="A74" s="19" t="s">
        <v>282</v>
      </c>
      <c r="C74" s="19" t="s">
        <v>279</v>
      </c>
    </row>
    <row r="75" spans="1:3" ht="38.25">
      <c r="A75" s="19" t="s">
        <v>283</v>
      </c>
      <c r="C75" s="19" t="s">
        <v>284</v>
      </c>
    </row>
    <row r="76" spans="1:3" ht="25.5">
      <c r="A76" s="19" t="s">
        <v>285</v>
      </c>
      <c r="C76" s="19" t="s">
        <v>286</v>
      </c>
    </row>
    <row r="77" spans="1:3" ht="51">
      <c r="A77" s="19" t="s">
        <v>287</v>
      </c>
      <c r="C77" s="19" t="s">
        <v>288</v>
      </c>
    </row>
    <row r="78" spans="1:3" ht="51">
      <c r="A78" s="19" t="s">
        <v>289</v>
      </c>
      <c r="C78" s="19" t="s">
        <v>290</v>
      </c>
    </row>
    <row r="79" spans="1:3" ht="38.25">
      <c r="A79" s="19" t="s">
        <v>291</v>
      </c>
      <c r="C79" s="19" t="s">
        <v>292</v>
      </c>
    </row>
    <row r="80" spans="1:3" ht="25.5">
      <c r="A80" s="19" t="s">
        <v>293</v>
      </c>
      <c r="C80" s="19" t="s">
        <v>253</v>
      </c>
    </row>
    <row r="81" spans="1:3" ht="38.25">
      <c r="A81" s="19" t="s">
        <v>294</v>
      </c>
      <c r="C81" s="19" t="s">
        <v>295</v>
      </c>
    </row>
    <row r="82" spans="1:3" ht="38.25">
      <c r="A82" s="19" t="s">
        <v>296</v>
      </c>
      <c r="C82" s="19" t="s">
        <v>297</v>
      </c>
    </row>
    <row r="83" spans="1:3" ht="38.25">
      <c r="A83" s="19" t="s">
        <v>298</v>
      </c>
      <c r="C83" s="19" t="s">
        <v>299</v>
      </c>
    </row>
    <row r="84" spans="1:3" ht="25.5">
      <c r="A84" s="19" t="s">
        <v>300</v>
      </c>
      <c r="C84" s="19" t="s">
        <v>301</v>
      </c>
    </row>
    <row r="85" spans="1:3" ht="38.25">
      <c r="A85" s="19" t="s">
        <v>302</v>
      </c>
      <c r="C85" s="19" t="s">
        <v>303</v>
      </c>
    </row>
    <row r="86" spans="1:3" ht="25.5">
      <c r="A86" s="19" t="s">
        <v>304</v>
      </c>
      <c r="C86" s="19" t="s">
        <v>253</v>
      </c>
    </row>
    <row r="87" spans="1:3" ht="25.5">
      <c r="A87" s="19" t="s">
        <v>305</v>
      </c>
      <c r="C87" s="19" t="s">
        <v>253</v>
      </c>
    </row>
    <row r="88" spans="1:3" ht="51">
      <c r="A88" s="19" t="s">
        <v>306</v>
      </c>
      <c r="C88" s="19" t="s">
        <v>307</v>
      </c>
    </row>
    <row r="89" spans="1:3" ht="51">
      <c r="A89" s="19" t="s">
        <v>308</v>
      </c>
      <c r="C89" s="19" t="s">
        <v>309</v>
      </c>
    </row>
    <row r="90" spans="1:3" ht="38.25">
      <c r="A90" s="19" t="s">
        <v>310</v>
      </c>
      <c r="C90" s="19" t="s">
        <v>311</v>
      </c>
    </row>
    <row r="91" spans="1:3" ht="25.5">
      <c r="A91" s="19" t="s">
        <v>312</v>
      </c>
      <c r="C91" s="19" t="s">
        <v>313</v>
      </c>
    </row>
    <row r="92" spans="1:3" ht="38.25">
      <c r="A92" s="19" t="s">
        <v>314</v>
      </c>
      <c r="C92" s="19" t="s">
        <v>315</v>
      </c>
    </row>
    <row r="93" spans="1:3" ht="38.25">
      <c r="A93" s="19" t="s">
        <v>316</v>
      </c>
      <c r="C93" s="19" t="s">
        <v>317</v>
      </c>
    </row>
    <row r="94" ht="12.75">
      <c r="A94" s="19" t="s">
        <v>318</v>
      </c>
    </row>
    <row r="95" spans="1:3" ht="38.25">
      <c r="A95" s="19" t="s">
        <v>316</v>
      </c>
      <c r="C95" s="19" t="s">
        <v>319</v>
      </c>
    </row>
    <row r="96" ht="12.75">
      <c r="A96" s="19" t="s">
        <v>318</v>
      </c>
    </row>
    <row r="97" spans="1:3" ht="38.25">
      <c r="A97" s="19" t="s">
        <v>316</v>
      </c>
      <c r="C97" s="19" t="s">
        <v>320</v>
      </c>
    </row>
    <row r="98" ht="12.75">
      <c r="A98" s="19" t="s">
        <v>318</v>
      </c>
    </row>
    <row r="99" spans="1:3" ht="25.5">
      <c r="A99" s="19" t="s">
        <v>321</v>
      </c>
      <c r="B99" s="19">
        <v>5.05</v>
      </c>
      <c r="C99" s="19" t="s">
        <v>322</v>
      </c>
    </row>
    <row r="100" spans="1:3" ht="25.5">
      <c r="A100" s="19" t="s">
        <v>323</v>
      </c>
      <c r="B100" s="19">
        <v>5.05</v>
      </c>
      <c r="C100" s="19" t="s">
        <v>324</v>
      </c>
    </row>
    <row r="101" spans="1:3" ht="25.5">
      <c r="A101" s="19" t="s">
        <v>325</v>
      </c>
      <c r="B101" s="19">
        <v>4.6</v>
      </c>
      <c r="C101" s="19" t="s">
        <v>326</v>
      </c>
    </row>
    <row r="102" spans="1:3" ht="25.5">
      <c r="A102" s="19" t="s">
        <v>327</v>
      </c>
      <c r="B102" s="19">
        <v>4.08</v>
      </c>
      <c r="C102" s="19" t="s">
        <v>328</v>
      </c>
    </row>
    <row r="103" spans="1:3" ht="38.25">
      <c r="A103" s="19" t="s">
        <v>329</v>
      </c>
      <c r="B103" s="19">
        <v>7.9</v>
      </c>
      <c r="C103" s="19" t="s">
        <v>330</v>
      </c>
    </row>
    <row r="104" spans="1:3" ht="25.5">
      <c r="A104" s="19" t="s">
        <v>331</v>
      </c>
      <c r="B104" s="19">
        <v>7.9</v>
      </c>
      <c r="C104" s="19" t="s">
        <v>332</v>
      </c>
    </row>
    <row r="105" spans="1:3" ht="25.5">
      <c r="A105" s="19" t="s">
        <v>333</v>
      </c>
      <c r="B105" s="19">
        <v>3.15</v>
      </c>
      <c r="C105" s="19" t="s">
        <v>334</v>
      </c>
    </row>
    <row r="106" spans="1:3" ht="38.25">
      <c r="A106" s="19" t="s">
        <v>335</v>
      </c>
      <c r="B106" s="19">
        <v>3.15</v>
      </c>
      <c r="C106" s="19" t="s">
        <v>336</v>
      </c>
    </row>
    <row r="107" spans="1:3" ht="25.5">
      <c r="A107" s="19" t="s">
        <v>337</v>
      </c>
      <c r="B107" s="19">
        <v>3.96</v>
      </c>
      <c r="C107" s="19" t="s">
        <v>338</v>
      </c>
    </row>
    <row r="108" spans="1:3" ht="38.25">
      <c r="A108" s="19" t="s">
        <v>339</v>
      </c>
      <c r="B108" s="19">
        <v>3.96</v>
      </c>
      <c r="C108" s="19" t="s">
        <v>340</v>
      </c>
    </row>
    <row r="109" spans="1:3" ht="25.5">
      <c r="A109" s="19" t="s">
        <v>341</v>
      </c>
      <c r="B109" s="19">
        <v>3.15</v>
      </c>
      <c r="C109" s="19" t="s">
        <v>342</v>
      </c>
    </row>
    <row r="110" spans="1:3" ht="38.25">
      <c r="A110" s="19" t="s">
        <v>343</v>
      </c>
      <c r="B110" s="19">
        <v>3.37</v>
      </c>
      <c r="C110" s="19" t="s">
        <v>344</v>
      </c>
    </row>
    <row r="111" spans="1:3" ht="38.25">
      <c r="A111" s="19" t="s">
        <v>345</v>
      </c>
      <c r="B111" s="19">
        <v>8.77</v>
      </c>
      <c r="C111" s="19" t="s">
        <v>346</v>
      </c>
    </row>
    <row r="112" spans="1:3" ht="25.5">
      <c r="A112" s="19" t="s">
        <v>347</v>
      </c>
      <c r="B112" s="19">
        <v>4.38</v>
      </c>
      <c r="C112" s="19" t="s">
        <v>191</v>
      </c>
    </row>
    <row r="113" spans="1:3" ht="25.5">
      <c r="A113" s="19" t="s">
        <v>348</v>
      </c>
      <c r="B113" s="19">
        <v>5.77</v>
      </c>
      <c r="C113" s="19" t="s">
        <v>332</v>
      </c>
    </row>
    <row r="114" spans="1:3" ht="25.5">
      <c r="A114" s="19" t="s">
        <v>349</v>
      </c>
      <c r="B114" s="19">
        <v>5.77</v>
      </c>
      <c r="C114" s="19" t="s">
        <v>332</v>
      </c>
    </row>
    <row r="115" spans="1:3" ht="25.5">
      <c r="A115" s="19" t="s">
        <v>359</v>
      </c>
      <c r="B115" s="19">
        <v>5.17</v>
      </c>
      <c r="C115" s="19" t="s">
        <v>360</v>
      </c>
    </row>
    <row r="116" spans="1:3" ht="25.5">
      <c r="A116" s="19" t="s">
        <v>361</v>
      </c>
      <c r="B116" s="19">
        <v>9.7</v>
      </c>
      <c r="C116" s="19" t="s">
        <v>362</v>
      </c>
    </row>
    <row r="117" spans="1:3" ht="25.5">
      <c r="A117" s="19" t="s">
        <v>363</v>
      </c>
      <c r="C117" s="19" t="s">
        <v>364</v>
      </c>
    </row>
    <row r="118" spans="1:3" ht="25.5">
      <c r="A118" s="19" t="s">
        <v>365</v>
      </c>
      <c r="C118" s="19" t="s">
        <v>366</v>
      </c>
    </row>
    <row r="119" spans="1:3" ht="25.5">
      <c r="A119" s="19" t="s">
        <v>367</v>
      </c>
      <c r="B119" s="19">
        <v>4.95</v>
      </c>
      <c r="C119" s="19" t="s">
        <v>368</v>
      </c>
    </row>
    <row r="120" spans="1:3" ht="25.5">
      <c r="A120" s="19" t="s">
        <v>369</v>
      </c>
      <c r="B120" s="19">
        <v>3.45</v>
      </c>
      <c r="C120" s="19" t="s">
        <v>370</v>
      </c>
    </row>
    <row r="121" spans="1:4" ht="25.5">
      <c r="A121" s="19" t="s">
        <v>371</v>
      </c>
      <c r="D121" s="19" t="s">
        <v>372</v>
      </c>
    </row>
    <row r="122" spans="1:3" ht="51">
      <c r="A122" s="19" t="s">
        <v>373</v>
      </c>
      <c r="C122" s="19" t="s">
        <v>374</v>
      </c>
    </row>
    <row r="123" spans="1:3" ht="38.25">
      <c r="A123" s="19" t="s">
        <v>375</v>
      </c>
      <c r="C123" s="19" t="s">
        <v>376</v>
      </c>
    </row>
    <row r="124" spans="1:3" ht="38.25">
      <c r="A124" s="19" t="s">
        <v>377</v>
      </c>
      <c r="C124" s="19" t="s">
        <v>378</v>
      </c>
    </row>
    <row r="125" spans="1:4" ht="25.5">
      <c r="A125" s="19" t="s">
        <v>379</v>
      </c>
      <c r="D125" s="19" t="s">
        <v>380</v>
      </c>
    </row>
    <row r="126" spans="1:3" ht="25.5">
      <c r="A126" s="19" t="s">
        <v>381</v>
      </c>
      <c r="C126" s="19" t="s">
        <v>382</v>
      </c>
    </row>
    <row r="127" spans="1:3" ht="51">
      <c r="A127" s="19" t="s">
        <v>383</v>
      </c>
      <c r="C127" s="19" t="s">
        <v>384</v>
      </c>
    </row>
    <row r="128" spans="1:3" ht="51">
      <c r="A128" s="19" t="s">
        <v>383</v>
      </c>
      <c r="C128" s="19" t="s">
        <v>385</v>
      </c>
    </row>
    <row r="129" spans="1:3" ht="25.5">
      <c r="A129" s="19" t="s">
        <v>386</v>
      </c>
      <c r="C129" s="19" t="s">
        <v>387</v>
      </c>
    </row>
    <row r="130" spans="1:3" ht="25.5">
      <c r="A130" s="19" t="s">
        <v>395</v>
      </c>
      <c r="C130" s="19" t="s">
        <v>396</v>
      </c>
    </row>
    <row r="131" spans="1:3" ht="38.25">
      <c r="A131" s="19" t="s">
        <v>397</v>
      </c>
      <c r="C131" s="19" t="s">
        <v>398</v>
      </c>
    </row>
    <row r="132" spans="1:3" ht="25.5">
      <c r="A132" s="19" t="s">
        <v>399</v>
      </c>
      <c r="C132" s="19" t="s">
        <v>400</v>
      </c>
    </row>
    <row r="133" spans="1:3" ht="25.5">
      <c r="A133" s="19" t="s">
        <v>401</v>
      </c>
      <c r="C133" s="19" t="s">
        <v>253</v>
      </c>
    </row>
    <row r="134" spans="1:3" ht="25.5">
      <c r="A134" s="19" t="s">
        <v>402</v>
      </c>
      <c r="C134" s="19" t="s">
        <v>453</v>
      </c>
    </row>
    <row r="135" spans="1:3" ht="38.25">
      <c r="A135" s="19" t="s">
        <v>454</v>
      </c>
      <c r="C135" s="19" t="s">
        <v>455</v>
      </c>
    </row>
    <row r="136" spans="1:3" ht="38.25">
      <c r="A136" s="19" t="s">
        <v>456</v>
      </c>
      <c r="C136" s="19" t="s">
        <v>457</v>
      </c>
    </row>
    <row r="137" spans="1:3" ht="38.25">
      <c r="A137" s="19" t="s">
        <v>458</v>
      </c>
      <c r="C137" s="19" t="s">
        <v>459</v>
      </c>
    </row>
    <row r="138" spans="1:3" ht="25.5">
      <c r="A138" s="19" t="s">
        <v>460</v>
      </c>
      <c r="C138" s="19" t="s">
        <v>253</v>
      </c>
    </row>
    <row r="139" spans="1:3" ht="25.5">
      <c r="A139" s="19" t="s">
        <v>461</v>
      </c>
      <c r="C139" s="19" t="s">
        <v>462</v>
      </c>
    </row>
    <row r="140" spans="1:3" ht="38.25">
      <c r="A140" s="19" t="s">
        <v>463</v>
      </c>
      <c r="C140" s="19" t="s">
        <v>464</v>
      </c>
    </row>
    <row r="141" spans="1:3" ht="38.25">
      <c r="A141" s="19" t="s">
        <v>465</v>
      </c>
      <c r="C141" s="19" t="s">
        <v>466</v>
      </c>
    </row>
    <row r="142" spans="1:3" ht="38.25">
      <c r="A142" s="19" t="s">
        <v>467</v>
      </c>
      <c r="C142" s="19" t="s">
        <v>468</v>
      </c>
    </row>
    <row r="143" spans="1:3" ht="51">
      <c r="A143" s="19" t="s">
        <v>469</v>
      </c>
      <c r="C143" s="19" t="s">
        <v>470</v>
      </c>
    </row>
    <row r="144" spans="1:3" ht="51">
      <c r="A144" s="19" t="s">
        <v>469</v>
      </c>
      <c r="C144" s="19" t="s">
        <v>471</v>
      </c>
    </row>
    <row r="145" spans="1:3" ht="51">
      <c r="A145" s="19" t="s">
        <v>469</v>
      </c>
      <c r="C145" s="19" t="s">
        <v>472</v>
      </c>
    </row>
    <row r="146" spans="1:3" ht="25.5">
      <c r="A146" s="19" t="s">
        <v>473</v>
      </c>
      <c r="C146" s="19" t="s">
        <v>474</v>
      </c>
    </row>
    <row r="147" spans="1:3" ht="38.25">
      <c r="A147" s="19" t="s">
        <v>475</v>
      </c>
      <c r="C147" s="19" t="s">
        <v>476</v>
      </c>
    </row>
    <row r="148" spans="1:3" ht="38.25">
      <c r="A148" s="19" t="s">
        <v>477</v>
      </c>
      <c r="C148" s="19" t="s">
        <v>480</v>
      </c>
    </row>
    <row r="149" spans="1:3" ht="51">
      <c r="A149" s="19" t="s">
        <v>481</v>
      </c>
      <c r="C149" s="19" t="s">
        <v>470</v>
      </c>
    </row>
    <row r="150" spans="1:3" ht="51">
      <c r="A150" s="19" t="s">
        <v>481</v>
      </c>
      <c r="C150" s="19" t="s">
        <v>471</v>
      </c>
    </row>
    <row r="151" spans="1:3" ht="51">
      <c r="A151" s="19" t="s">
        <v>481</v>
      </c>
      <c r="C151" s="19" t="s">
        <v>472</v>
      </c>
    </row>
    <row r="152" spans="1:3" ht="51">
      <c r="A152" s="19" t="s">
        <v>482</v>
      </c>
      <c r="C152" s="19" t="s">
        <v>470</v>
      </c>
    </row>
    <row r="153" spans="1:3" ht="51">
      <c r="A153" s="19" t="s">
        <v>482</v>
      </c>
      <c r="C153" s="19" t="s">
        <v>471</v>
      </c>
    </row>
    <row r="154" spans="1:3" ht="51">
      <c r="A154" s="19" t="s">
        <v>482</v>
      </c>
      <c r="C154" s="19" t="s">
        <v>472</v>
      </c>
    </row>
    <row r="155" spans="1:3" ht="38.25">
      <c r="A155" s="19" t="s">
        <v>483</v>
      </c>
      <c r="C155" s="19" t="s">
        <v>484</v>
      </c>
    </row>
    <row r="156" spans="1:3" ht="51">
      <c r="A156" s="19" t="s">
        <v>485</v>
      </c>
      <c r="C156" s="19" t="s">
        <v>470</v>
      </c>
    </row>
    <row r="157" spans="1:3" ht="51">
      <c r="A157" s="19" t="s">
        <v>485</v>
      </c>
      <c r="C157" s="19" t="s">
        <v>471</v>
      </c>
    </row>
    <row r="158" spans="1:3" ht="51">
      <c r="A158" s="19" t="s">
        <v>485</v>
      </c>
      <c r="C158" s="19" t="s">
        <v>472</v>
      </c>
    </row>
    <row r="159" spans="1:3" ht="38.25">
      <c r="A159" s="19" t="s">
        <v>486</v>
      </c>
      <c r="C159" s="19" t="s">
        <v>487</v>
      </c>
    </row>
    <row r="160" spans="1:3" ht="38.25">
      <c r="A160" s="19" t="s">
        <v>488</v>
      </c>
      <c r="C160" s="19" t="s">
        <v>489</v>
      </c>
    </row>
    <row r="161" spans="1:3" ht="25.5">
      <c r="A161" s="19" t="s">
        <v>490</v>
      </c>
      <c r="C161" s="19" t="s">
        <v>491</v>
      </c>
    </row>
    <row r="162" spans="1:3" ht="51">
      <c r="A162" s="19" t="s">
        <v>492</v>
      </c>
      <c r="C162" s="19" t="s">
        <v>493</v>
      </c>
    </row>
    <row r="163" spans="1:3" ht="51">
      <c r="A163" s="19" t="s">
        <v>494</v>
      </c>
      <c r="C163" s="19" t="s">
        <v>495</v>
      </c>
    </row>
    <row r="164" spans="1:3" ht="51">
      <c r="A164" s="19" t="s">
        <v>496</v>
      </c>
      <c r="C164" s="19" t="s">
        <v>495</v>
      </c>
    </row>
    <row r="165" spans="1:3" ht="51">
      <c r="A165" s="19" t="s">
        <v>497</v>
      </c>
      <c r="C165" s="19" t="s">
        <v>498</v>
      </c>
    </row>
    <row r="166" spans="1:3" ht="51">
      <c r="A166" s="19" t="s">
        <v>499</v>
      </c>
      <c r="C166" s="19" t="s">
        <v>500</v>
      </c>
    </row>
    <row r="167" spans="1:3" ht="25.5">
      <c r="A167" s="19" t="s">
        <v>501</v>
      </c>
      <c r="C167" s="19" t="s">
        <v>502</v>
      </c>
    </row>
    <row r="168" spans="1:3" ht="25.5">
      <c r="A168" s="19" t="s">
        <v>503</v>
      </c>
      <c r="C168" s="19" t="s">
        <v>504</v>
      </c>
    </row>
    <row r="169" spans="1:3" ht="38.25">
      <c r="A169" s="19" t="s">
        <v>503</v>
      </c>
      <c r="C169" s="19" t="s">
        <v>505</v>
      </c>
    </row>
    <row r="170" spans="1:3" ht="25.5">
      <c r="A170" s="19" t="s">
        <v>506</v>
      </c>
      <c r="C170" s="19" t="s">
        <v>507</v>
      </c>
    </row>
    <row r="171" spans="1:3" ht="25.5">
      <c r="A171" s="19" t="s">
        <v>508</v>
      </c>
      <c r="C171" s="19" t="s">
        <v>517</v>
      </c>
    </row>
    <row r="172" spans="1:3" ht="25.5">
      <c r="A172" s="19" t="s">
        <v>518</v>
      </c>
      <c r="C172" s="19" t="s">
        <v>519</v>
      </c>
    </row>
    <row r="173" spans="1:3" ht="25.5">
      <c r="A173" s="19" t="s">
        <v>520</v>
      </c>
      <c r="C173" s="19" t="s">
        <v>521</v>
      </c>
    </row>
    <row r="174" spans="1:3" ht="25.5">
      <c r="A174" s="19" t="s">
        <v>522</v>
      </c>
      <c r="C174" s="19" t="s">
        <v>523</v>
      </c>
    </row>
    <row r="175" spans="1:3" ht="25.5">
      <c r="A175" s="19" t="s">
        <v>524</v>
      </c>
      <c r="C175" s="19" t="s">
        <v>525</v>
      </c>
    </row>
    <row r="176" spans="1:3" ht="38.25">
      <c r="A176" s="19" t="s">
        <v>526</v>
      </c>
      <c r="C176" s="19" t="s">
        <v>527</v>
      </c>
    </row>
    <row r="177" spans="1:3" ht="38.25">
      <c r="A177" s="19" t="s">
        <v>528</v>
      </c>
      <c r="C177" s="19" t="s">
        <v>529</v>
      </c>
    </row>
    <row r="178" spans="1:3" ht="25.5">
      <c r="A178" s="19" t="s">
        <v>530</v>
      </c>
      <c r="C178" s="19" t="s">
        <v>531</v>
      </c>
    </row>
    <row r="179" spans="1:3" ht="25.5">
      <c r="A179" s="19" t="s">
        <v>532</v>
      </c>
      <c r="C179" s="19" t="s">
        <v>525</v>
      </c>
    </row>
    <row r="180" spans="1:3" ht="25.5">
      <c r="A180" s="19" t="s">
        <v>533</v>
      </c>
      <c r="C180" s="19" t="s">
        <v>534</v>
      </c>
    </row>
    <row r="181" spans="1:3" ht="25.5">
      <c r="A181" s="19" t="s">
        <v>535</v>
      </c>
      <c r="C181" s="19" t="s">
        <v>534</v>
      </c>
    </row>
    <row r="182" spans="1:3" ht="25.5">
      <c r="A182" s="19" t="s">
        <v>536</v>
      </c>
      <c r="C182" s="19" t="s">
        <v>537</v>
      </c>
    </row>
    <row r="183" spans="1:3" ht="38.25">
      <c r="A183" s="19" t="s">
        <v>538</v>
      </c>
      <c r="C183" s="19" t="s">
        <v>539</v>
      </c>
    </row>
    <row r="184" spans="1:2" ht="102">
      <c r="A184" s="19" t="s">
        <v>540</v>
      </c>
      <c r="B184" s="19" t="s">
        <v>541</v>
      </c>
    </row>
    <row r="185" spans="1:3" ht="38.25">
      <c r="A185" s="19" t="s">
        <v>542</v>
      </c>
      <c r="C185" s="19" t="s">
        <v>543</v>
      </c>
    </row>
    <row r="186" spans="1:3" ht="25.5">
      <c r="A186" s="19" t="s">
        <v>544</v>
      </c>
      <c r="C186" s="19" t="s">
        <v>238</v>
      </c>
    </row>
    <row r="187" spans="1:3" ht="38.25">
      <c r="A187" s="19" t="s">
        <v>545</v>
      </c>
      <c r="C187" s="19" t="s">
        <v>242</v>
      </c>
    </row>
    <row r="188" spans="1:2" ht="51">
      <c r="A188" s="19" t="s">
        <v>546</v>
      </c>
      <c r="B188" s="19" t="s">
        <v>547</v>
      </c>
    </row>
    <row r="189" spans="1:3" ht="25.5">
      <c r="A189" s="19" t="s">
        <v>548</v>
      </c>
      <c r="C189" s="19" t="s">
        <v>191</v>
      </c>
    </row>
    <row r="190" spans="1:3" ht="25.5">
      <c r="A190" s="19" t="s">
        <v>549</v>
      </c>
      <c r="C190" s="19" t="s">
        <v>253</v>
      </c>
    </row>
    <row r="191" spans="1:3" ht="38.25">
      <c r="A191" s="19" t="s">
        <v>550</v>
      </c>
      <c r="C191" s="19" t="s">
        <v>248</v>
      </c>
    </row>
    <row r="192" spans="1:3" ht="38.25">
      <c r="A192" s="19" t="s">
        <v>551</v>
      </c>
      <c r="C192" s="19" t="s">
        <v>250</v>
      </c>
    </row>
    <row r="193" spans="1:3" ht="38.25">
      <c r="A193" s="19" t="s">
        <v>552</v>
      </c>
      <c r="C193" s="19" t="s">
        <v>553</v>
      </c>
    </row>
    <row r="194" spans="1:3" ht="38.25">
      <c r="A194" s="19" t="s">
        <v>554</v>
      </c>
      <c r="C194" s="19" t="s">
        <v>248</v>
      </c>
    </row>
    <row r="195" spans="1:3" ht="38.25">
      <c r="A195" s="19" t="s">
        <v>555</v>
      </c>
      <c r="C195" s="19" t="s">
        <v>248</v>
      </c>
    </row>
    <row r="196" spans="1:3" ht="25.5">
      <c r="A196" s="19" t="s">
        <v>556</v>
      </c>
      <c r="C196" s="19" t="s">
        <v>557</v>
      </c>
    </row>
    <row r="197" spans="1:3" ht="38.25">
      <c r="A197" s="19" t="s">
        <v>558</v>
      </c>
      <c r="C197" s="19" t="s">
        <v>248</v>
      </c>
    </row>
    <row r="198" spans="1:3" ht="38.25">
      <c r="A198" s="19" t="s">
        <v>559</v>
      </c>
      <c r="C198" s="19" t="s">
        <v>560</v>
      </c>
    </row>
    <row r="199" spans="1:3" ht="38.25">
      <c r="A199" s="19" t="s">
        <v>561</v>
      </c>
      <c r="C199" s="19" t="s">
        <v>560</v>
      </c>
    </row>
    <row r="200" spans="1:3" ht="25.5">
      <c r="A200" s="19" t="s">
        <v>562</v>
      </c>
      <c r="C200" s="19" t="s">
        <v>563</v>
      </c>
    </row>
    <row r="201" spans="1:3" ht="38.25">
      <c r="A201" s="19" t="s">
        <v>564</v>
      </c>
      <c r="C201" s="19" t="s">
        <v>565</v>
      </c>
    </row>
    <row r="202" spans="1:3" ht="25.5">
      <c r="A202" s="19" t="s">
        <v>566</v>
      </c>
      <c r="C202" s="19" t="s">
        <v>567</v>
      </c>
    </row>
    <row r="203" spans="1:3" ht="38.25">
      <c r="A203" s="19" t="s">
        <v>568</v>
      </c>
      <c r="C203" s="19" t="s">
        <v>553</v>
      </c>
    </row>
    <row r="204" spans="1:3" ht="25.5">
      <c r="A204" s="19" t="s">
        <v>569</v>
      </c>
      <c r="C204" s="19" t="s">
        <v>570</v>
      </c>
    </row>
    <row r="205" spans="1:3" ht="25.5">
      <c r="A205" s="19" t="s">
        <v>571</v>
      </c>
      <c r="B205" s="19">
        <v>3.95</v>
      </c>
      <c r="C205" s="19" t="s">
        <v>572</v>
      </c>
    </row>
    <row r="206" spans="1:3" ht="25.5">
      <c r="A206" s="19" t="s">
        <v>573</v>
      </c>
      <c r="B206" s="19">
        <v>3.1</v>
      </c>
      <c r="C206" s="19" t="s">
        <v>574</v>
      </c>
    </row>
    <row r="207" spans="1:3" ht="25.5">
      <c r="A207" s="19" t="s">
        <v>575</v>
      </c>
      <c r="C207" s="19" t="s">
        <v>191</v>
      </c>
    </row>
    <row r="208" spans="1:3" ht="25.5">
      <c r="A208" s="19" t="s">
        <v>576</v>
      </c>
      <c r="C208" s="19" t="s">
        <v>577</v>
      </c>
    </row>
    <row r="209" spans="1:3" ht="51">
      <c r="A209" s="19" t="s">
        <v>578</v>
      </c>
      <c r="C209" s="19" t="s">
        <v>579</v>
      </c>
    </row>
    <row r="210" spans="1:3" ht="51">
      <c r="A210" s="19" t="s">
        <v>580</v>
      </c>
      <c r="C210" s="19" t="s">
        <v>384</v>
      </c>
    </row>
    <row r="211" spans="1:3" ht="51">
      <c r="A211" s="19" t="s">
        <v>580</v>
      </c>
      <c r="C211" s="19" t="s">
        <v>385</v>
      </c>
    </row>
    <row r="212" spans="1:3" ht="25.5">
      <c r="A212" s="19" t="s">
        <v>581</v>
      </c>
      <c r="C212" s="19" t="s">
        <v>582</v>
      </c>
    </row>
    <row r="213" spans="1:3" ht="25.5">
      <c r="A213" s="19" t="s">
        <v>583</v>
      </c>
      <c r="C213" s="19" t="s">
        <v>584</v>
      </c>
    </row>
    <row r="214" spans="1:3" ht="25.5">
      <c r="A214" s="19" t="s">
        <v>585</v>
      </c>
      <c r="C214" s="19" t="s">
        <v>586</v>
      </c>
    </row>
    <row r="215" spans="1:3" ht="38.25">
      <c r="A215" s="19" t="s">
        <v>587</v>
      </c>
      <c r="C215" s="19" t="s">
        <v>588</v>
      </c>
    </row>
    <row r="216" spans="1:3" ht="25.5">
      <c r="A216" s="19" t="s">
        <v>616</v>
      </c>
      <c r="C216" s="19" t="s">
        <v>617</v>
      </c>
    </row>
    <row r="217" spans="1:3" ht="38.25">
      <c r="A217" s="19" t="s">
        <v>620</v>
      </c>
      <c r="C217" s="19" t="s">
        <v>621</v>
      </c>
    </row>
    <row r="218" spans="1:3" ht="38.25">
      <c r="A218" s="19" t="s">
        <v>622</v>
      </c>
      <c r="B218" s="19">
        <v>3.6</v>
      </c>
      <c r="C218" s="19" t="s">
        <v>623</v>
      </c>
    </row>
    <row r="219" spans="1:3" ht="51">
      <c r="A219" s="19" t="s">
        <v>624</v>
      </c>
      <c r="B219" s="19">
        <v>4.1</v>
      </c>
      <c r="C219" s="19" t="s">
        <v>625</v>
      </c>
    </row>
    <row r="220" spans="1:3" ht="51">
      <c r="A220" s="19" t="s">
        <v>624</v>
      </c>
      <c r="B220" s="19">
        <v>4.1</v>
      </c>
      <c r="C220" s="19" t="s">
        <v>626</v>
      </c>
    </row>
    <row r="221" spans="1:3" ht="38.25">
      <c r="A221" s="19" t="s">
        <v>627</v>
      </c>
      <c r="C221" s="19" t="s">
        <v>628</v>
      </c>
    </row>
    <row r="222" spans="1:3" ht="38.25">
      <c r="A222" s="19" t="s">
        <v>629</v>
      </c>
      <c r="C222" s="19" t="s">
        <v>630</v>
      </c>
    </row>
    <row r="223" spans="1:3" ht="38.25">
      <c r="A223" s="19" t="s">
        <v>631</v>
      </c>
      <c r="C223" s="19" t="s">
        <v>632</v>
      </c>
    </row>
    <row r="224" spans="1:3" ht="51">
      <c r="A224" s="19" t="s">
        <v>633</v>
      </c>
      <c r="B224" s="19">
        <v>4.3</v>
      </c>
      <c r="C224" s="19" t="s">
        <v>663</v>
      </c>
    </row>
    <row r="225" spans="1:3" ht="25.5">
      <c r="A225" s="19" t="s">
        <v>664</v>
      </c>
      <c r="C225" s="19" t="s">
        <v>665</v>
      </c>
    </row>
    <row r="226" spans="1:3" ht="25.5">
      <c r="A226" s="19" t="s">
        <v>666</v>
      </c>
      <c r="C226" s="19" t="s">
        <v>253</v>
      </c>
    </row>
    <row r="227" spans="1:3" ht="25.5">
      <c r="A227" s="19" t="s">
        <v>667</v>
      </c>
      <c r="B227" s="19">
        <v>7.1</v>
      </c>
      <c r="C227" s="19" t="s">
        <v>668</v>
      </c>
    </row>
    <row r="228" spans="1:3" ht="38.25">
      <c r="A228" s="19" t="s">
        <v>669</v>
      </c>
      <c r="C228" s="19" t="s">
        <v>670</v>
      </c>
    </row>
    <row r="229" spans="1:3" ht="25.5">
      <c r="A229" s="19" t="s">
        <v>671</v>
      </c>
      <c r="C229" s="19" t="s">
        <v>672</v>
      </c>
    </row>
    <row r="230" spans="1:2" ht="63.75">
      <c r="A230" s="19" t="s">
        <v>673</v>
      </c>
      <c r="B230" s="19" t="s">
        <v>674</v>
      </c>
    </row>
    <row r="231" ht="12.75">
      <c r="A231" s="19" t="s">
        <v>675</v>
      </c>
    </row>
    <row r="232" spans="1:3" ht="38.25">
      <c r="A232" s="19" t="s">
        <v>676</v>
      </c>
      <c r="C232" s="19" t="s">
        <v>677</v>
      </c>
    </row>
    <row r="233" ht="12.75">
      <c r="A233" s="19" t="s">
        <v>675</v>
      </c>
    </row>
    <row r="234" spans="1:3" ht="38.25">
      <c r="A234" s="19" t="s">
        <v>678</v>
      </c>
      <c r="C234" s="19" t="s">
        <v>679</v>
      </c>
    </row>
    <row r="235" spans="1:3" ht="25.5">
      <c r="A235" s="19" t="s">
        <v>680</v>
      </c>
      <c r="C235" s="19" t="s">
        <v>681</v>
      </c>
    </row>
    <row r="236" spans="1:3" ht="25.5">
      <c r="A236" s="19" t="s">
        <v>682</v>
      </c>
      <c r="C236" s="19" t="s">
        <v>683</v>
      </c>
    </row>
    <row r="237" spans="1:3" ht="25.5">
      <c r="A237" s="19" t="s">
        <v>684</v>
      </c>
      <c r="C237" s="19" t="s">
        <v>685</v>
      </c>
    </row>
    <row r="238" spans="1:3" ht="25.5">
      <c r="A238" s="19" t="s">
        <v>686</v>
      </c>
      <c r="C238" s="19" t="s">
        <v>687</v>
      </c>
    </row>
    <row r="239" spans="1:3" ht="38.25">
      <c r="A239" s="19" t="s">
        <v>688</v>
      </c>
      <c r="C239" s="19" t="s">
        <v>689</v>
      </c>
    </row>
    <row r="240" spans="1:3" ht="51">
      <c r="A240" s="19" t="s">
        <v>690</v>
      </c>
      <c r="C240" s="19" t="s">
        <v>691</v>
      </c>
    </row>
    <row r="241" spans="1:3" ht="25.5">
      <c r="A241" s="19" t="s">
        <v>692</v>
      </c>
      <c r="C241" s="19" t="s">
        <v>693</v>
      </c>
    </row>
    <row r="242" spans="1:3" ht="38.25">
      <c r="A242" s="19" t="s">
        <v>694</v>
      </c>
      <c r="C242" s="19" t="s">
        <v>695</v>
      </c>
    </row>
    <row r="243" spans="1:3" ht="25.5">
      <c r="A243" s="19" t="s">
        <v>696</v>
      </c>
      <c r="C243" s="19" t="s">
        <v>697</v>
      </c>
    </row>
    <row r="244" spans="1:3" ht="25.5">
      <c r="A244" s="19" t="s">
        <v>698</v>
      </c>
      <c r="C244" s="19" t="s">
        <v>699</v>
      </c>
    </row>
    <row r="245" spans="1:3" ht="25.5">
      <c r="A245" s="19" t="s">
        <v>700</v>
      </c>
      <c r="C245" s="19" t="s">
        <v>701</v>
      </c>
    </row>
    <row r="246" spans="1:3" ht="51">
      <c r="A246" s="19" t="s">
        <v>702</v>
      </c>
      <c r="C246" s="19" t="s">
        <v>703</v>
      </c>
    </row>
    <row r="247" spans="1:3" ht="51">
      <c r="A247" s="19" t="s">
        <v>704</v>
      </c>
      <c r="C247" s="19" t="s">
        <v>705</v>
      </c>
    </row>
    <row r="248" ht="12.75">
      <c r="A248" s="19" t="s">
        <v>706</v>
      </c>
    </row>
    <row r="249" spans="1:3" ht="38.25">
      <c r="A249" s="19" t="s">
        <v>704</v>
      </c>
      <c r="C249" s="19" t="s">
        <v>707</v>
      </c>
    </row>
    <row r="250" spans="1:3" ht="51">
      <c r="A250" s="19" t="s">
        <v>708</v>
      </c>
      <c r="C250" s="19" t="s">
        <v>709</v>
      </c>
    </row>
    <row r="251" spans="1:3" ht="51">
      <c r="A251" s="19" t="s">
        <v>710</v>
      </c>
      <c r="C251" s="19" t="s">
        <v>711</v>
      </c>
    </row>
    <row r="252" spans="1:3" ht="51">
      <c r="A252" s="19" t="s">
        <v>712</v>
      </c>
      <c r="C252" s="19" t="s">
        <v>713</v>
      </c>
    </row>
    <row r="253" spans="1:3" ht="38.25">
      <c r="A253" s="19" t="s">
        <v>714</v>
      </c>
      <c r="C253" s="19" t="s">
        <v>715</v>
      </c>
    </row>
    <row r="254" spans="1:3" ht="38.25">
      <c r="A254" s="19" t="s">
        <v>716</v>
      </c>
      <c r="C254" s="19" t="s">
        <v>717</v>
      </c>
    </row>
    <row r="255" spans="1:3" ht="38.25">
      <c r="A255" s="19" t="s">
        <v>718</v>
      </c>
      <c r="C255" s="19" t="s">
        <v>719</v>
      </c>
    </row>
    <row r="256" spans="1:3" ht="38.25">
      <c r="A256" s="19" t="s">
        <v>720</v>
      </c>
      <c r="C256" s="19" t="s">
        <v>721</v>
      </c>
    </row>
    <row r="257" spans="1:3" ht="38.25">
      <c r="A257" s="19" t="s">
        <v>722</v>
      </c>
      <c r="C257" s="19" t="s">
        <v>723</v>
      </c>
    </row>
    <row r="258" spans="1:3" ht="38.25">
      <c r="A258" s="19" t="s">
        <v>724</v>
      </c>
      <c r="C258" s="19" t="s">
        <v>725</v>
      </c>
    </row>
    <row r="259" spans="1:3" ht="25.5">
      <c r="A259" s="19" t="s">
        <v>726</v>
      </c>
      <c r="C259" s="19" t="s">
        <v>191</v>
      </c>
    </row>
    <row r="260" spans="1:3" ht="38.25">
      <c r="A260" s="19" t="s">
        <v>727</v>
      </c>
      <c r="C260" s="19" t="s">
        <v>728</v>
      </c>
    </row>
    <row r="261" spans="1:3" ht="38.25">
      <c r="A261" s="19" t="s">
        <v>729</v>
      </c>
      <c r="C261" s="19" t="s">
        <v>730</v>
      </c>
    </row>
    <row r="262" spans="1:3" ht="38.25">
      <c r="A262" s="19" t="s">
        <v>733</v>
      </c>
      <c r="C262" s="19" t="s">
        <v>734</v>
      </c>
    </row>
    <row r="263" spans="1:3" ht="25.5">
      <c r="A263" s="19" t="s">
        <v>735</v>
      </c>
      <c r="C263" s="19" t="s">
        <v>736</v>
      </c>
    </row>
    <row r="264" spans="1:3" ht="38.25">
      <c r="A264" s="19" t="s">
        <v>737</v>
      </c>
      <c r="C264" s="19" t="s">
        <v>738</v>
      </c>
    </row>
    <row r="265" spans="1:3" ht="38.25">
      <c r="A265" s="19" t="s">
        <v>739</v>
      </c>
      <c r="C265" s="19" t="s">
        <v>740</v>
      </c>
    </row>
    <row r="266" spans="1:3" ht="51">
      <c r="A266" s="19" t="s">
        <v>741</v>
      </c>
      <c r="C266" s="19" t="s">
        <v>470</v>
      </c>
    </row>
    <row r="267" spans="1:3" ht="51">
      <c r="A267" s="19" t="s">
        <v>741</v>
      </c>
      <c r="C267" s="19" t="s">
        <v>471</v>
      </c>
    </row>
    <row r="268" spans="1:3" ht="51">
      <c r="A268" s="19" t="s">
        <v>741</v>
      </c>
      <c r="C268" s="19" t="s">
        <v>472</v>
      </c>
    </row>
    <row r="269" spans="1:3" ht="38.25">
      <c r="A269" s="19" t="s">
        <v>742</v>
      </c>
      <c r="C269" s="19" t="s">
        <v>743</v>
      </c>
    </row>
    <row r="270" spans="1:3" ht="25.5">
      <c r="A270" s="19" t="s">
        <v>744</v>
      </c>
      <c r="C270" s="19" t="s">
        <v>745</v>
      </c>
    </row>
    <row r="271" spans="1:3" ht="25.5">
      <c r="A271" s="19" t="s">
        <v>746</v>
      </c>
      <c r="C271" s="19" t="s">
        <v>749</v>
      </c>
    </row>
    <row r="272" spans="1:3" ht="25.5">
      <c r="A272" s="19" t="s">
        <v>750</v>
      </c>
      <c r="C272" s="19" t="s">
        <v>751</v>
      </c>
    </row>
    <row r="273" spans="1:3" ht="38.25">
      <c r="A273" s="19" t="s">
        <v>752</v>
      </c>
      <c r="C273" s="19" t="s">
        <v>753</v>
      </c>
    </row>
    <row r="274" spans="1:3" ht="38.25">
      <c r="A274" s="19" t="s">
        <v>754</v>
      </c>
      <c r="C274" s="19" t="s">
        <v>755</v>
      </c>
    </row>
    <row r="275" spans="1:3" ht="38.25">
      <c r="A275" s="19" t="s">
        <v>756</v>
      </c>
      <c r="C275" s="19" t="s">
        <v>757</v>
      </c>
    </row>
    <row r="276" spans="1:3" ht="38.25">
      <c r="A276" s="19" t="s">
        <v>758</v>
      </c>
      <c r="C276" s="19" t="s">
        <v>759</v>
      </c>
    </row>
    <row r="277" spans="1:3" ht="38.25">
      <c r="A277" s="19" t="s">
        <v>760</v>
      </c>
      <c r="C277" s="19" t="s">
        <v>761</v>
      </c>
    </row>
    <row r="278" spans="1:3" ht="25.5">
      <c r="A278" s="19" t="s">
        <v>762</v>
      </c>
      <c r="C278" s="19" t="s">
        <v>763</v>
      </c>
    </row>
    <row r="279" spans="1:3" ht="25.5">
      <c r="A279" s="19" t="s">
        <v>764</v>
      </c>
      <c r="C279" s="19" t="s">
        <v>765</v>
      </c>
    </row>
    <row r="280" spans="1:3" ht="25.5">
      <c r="A280" s="19" t="s">
        <v>766</v>
      </c>
      <c r="C280" s="19" t="s">
        <v>767</v>
      </c>
    </row>
    <row r="281" spans="1:3" ht="38.25">
      <c r="A281" s="19" t="s">
        <v>768</v>
      </c>
      <c r="C281" s="19" t="s">
        <v>769</v>
      </c>
    </row>
    <row r="282" spans="1:3" ht="38.25">
      <c r="A282" s="19" t="s">
        <v>770</v>
      </c>
      <c r="C282" s="19" t="s">
        <v>769</v>
      </c>
    </row>
    <row r="283" spans="1:3" ht="38.25">
      <c r="A283" s="19" t="s">
        <v>771</v>
      </c>
      <c r="C283" s="19" t="s">
        <v>772</v>
      </c>
    </row>
    <row r="284" spans="1:3" ht="38.25">
      <c r="A284" s="19" t="s">
        <v>773</v>
      </c>
      <c r="C284" s="19" t="s">
        <v>772</v>
      </c>
    </row>
    <row r="285" spans="1:3" ht="38.25">
      <c r="A285" s="19" t="s">
        <v>774</v>
      </c>
      <c r="C285" s="19" t="s">
        <v>775</v>
      </c>
    </row>
    <row r="286" spans="1:3" ht="25.5">
      <c r="A286" s="19" t="s">
        <v>776</v>
      </c>
      <c r="C286" s="19" t="s">
        <v>777</v>
      </c>
    </row>
    <row r="287" spans="1:3" ht="51">
      <c r="A287" s="19" t="s">
        <v>778</v>
      </c>
      <c r="C287" s="19" t="s">
        <v>779</v>
      </c>
    </row>
    <row r="288" spans="1:3" ht="38.25">
      <c r="A288" s="19" t="s">
        <v>780</v>
      </c>
      <c r="C288" s="19" t="s">
        <v>781</v>
      </c>
    </row>
    <row r="289" spans="1:3" ht="38.25">
      <c r="A289" s="19" t="s">
        <v>782</v>
      </c>
      <c r="C289" s="19" t="s">
        <v>781</v>
      </c>
    </row>
    <row r="290" spans="1:3" ht="38.25">
      <c r="A290" s="19" t="s">
        <v>783</v>
      </c>
      <c r="C290" s="19" t="s">
        <v>755</v>
      </c>
    </row>
    <row r="291" spans="1:3" ht="25.5">
      <c r="A291" s="19" t="s">
        <v>784</v>
      </c>
      <c r="C291" s="19" t="s">
        <v>785</v>
      </c>
    </row>
    <row r="292" spans="1:3" ht="38.25">
      <c r="A292" s="19" t="s">
        <v>786</v>
      </c>
      <c r="C292" s="19" t="s">
        <v>755</v>
      </c>
    </row>
    <row r="293" spans="1:3" ht="38.25">
      <c r="A293" s="19" t="s">
        <v>787</v>
      </c>
      <c r="C293" s="19" t="s">
        <v>788</v>
      </c>
    </row>
    <row r="294" spans="1:3" ht="25.5">
      <c r="A294" s="19" t="s">
        <v>789</v>
      </c>
      <c r="C294" s="19" t="s">
        <v>763</v>
      </c>
    </row>
    <row r="295" spans="1:3" ht="25.5">
      <c r="A295" s="19" t="s">
        <v>790</v>
      </c>
      <c r="C295" s="19" t="s">
        <v>791</v>
      </c>
    </row>
    <row r="296" spans="1:3" ht="38.25">
      <c r="A296" s="19" t="s">
        <v>792</v>
      </c>
      <c r="C296" s="19" t="s">
        <v>793</v>
      </c>
    </row>
    <row r="297" spans="1:3" ht="25.5">
      <c r="A297" s="19" t="s">
        <v>796</v>
      </c>
      <c r="C297" s="19" t="s">
        <v>797</v>
      </c>
    </row>
    <row r="298" spans="1:3" ht="38.25">
      <c r="A298" s="19" t="s">
        <v>798</v>
      </c>
      <c r="C298" s="19" t="s">
        <v>799</v>
      </c>
    </row>
    <row r="299" spans="1:3" ht="38.25">
      <c r="A299" s="19" t="s">
        <v>800</v>
      </c>
      <c r="C299" s="19" t="s">
        <v>799</v>
      </c>
    </row>
    <row r="300" spans="1:3" ht="25.5">
      <c r="A300" s="19" t="s">
        <v>801</v>
      </c>
      <c r="C300" s="19" t="s">
        <v>765</v>
      </c>
    </row>
    <row r="301" spans="1:3" ht="38.25">
      <c r="A301" s="19" t="s">
        <v>802</v>
      </c>
      <c r="C301" s="19" t="s">
        <v>803</v>
      </c>
    </row>
    <row r="302" spans="1:3" ht="38.25">
      <c r="A302" s="19" t="s">
        <v>804</v>
      </c>
      <c r="C302" s="19" t="s">
        <v>805</v>
      </c>
    </row>
    <row r="303" spans="1:3" ht="25.5">
      <c r="A303" s="19" t="s">
        <v>806</v>
      </c>
      <c r="C303" s="19" t="s">
        <v>807</v>
      </c>
    </row>
    <row r="305" spans="1:3" ht="25.5">
      <c r="A305" s="19" t="s">
        <v>808</v>
      </c>
      <c r="C305" s="19" t="s">
        <v>809</v>
      </c>
    </row>
    <row r="306" spans="1:3" ht="38.25">
      <c r="A306" s="19" t="s">
        <v>810</v>
      </c>
      <c r="C306" s="19" t="s">
        <v>811</v>
      </c>
    </row>
    <row r="307" spans="1:3" ht="25.5">
      <c r="A307" s="19" t="s">
        <v>812</v>
      </c>
      <c r="C307" s="19" t="s">
        <v>813</v>
      </c>
    </row>
    <row r="308" spans="1:3" ht="25.5">
      <c r="A308" s="19" t="s">
        <v>814</v>
      </c>
      <c r="C308" s="19" t="s">
        <v>815</v>
      </c>
    </row>
    <row r="309" spans="1:3" ht="38.25">
      <c r="A309" s="19" t="s">
        <v>816</v>
      </c>
      <c r="C309" s="19" t="s">
        <v>817</v>
      </c>
    </row>
    <row r="310" spans="1:3" ht="25.5">
      <c r="A310" s="19" t="s">
        <v>818</v>
      </c>
      <c r="C310" s="19" t="s">
        <v>819</v>
      </c>
    </row>
    <row r="311" spans="1:3" ht="38.25">
      <c r="A311" s="19" t="s">
        <v>820</v>
      </c>
      <c r="C311" s="19" t="s">
        <v>821</v>
      </c>
    </row>
    <row r="312" spans="1:3" ht="25.5">
      <c r="A312" s="19" t="s">
        <v>822</v>
      </c>
      <c r="C312" s="19" t="s">
        <v>823</v>
      </c>
    </row>
    <row r="313" spans="1:3" ht="38.25">
      <c r="A313" s="19" t="s">
        <v>824</v>
      </c>
      <c r="C313" s="19" t="s">
        <v>825</v>
      </c>
    </row>
    <row r="314" spans="1:3" ht="38.25">
      <c r="A314" s="19" t="s">
        <v>826</v>
      </c>
      <c r="C314" s="19" t="s">
        <v>827</v>
      </c>
    </row>
    <row r="315" spans="1:3" ht="38.25">
      <c r="A315" s="19" t="s">
        <v>828</v>
      </c>
      <c r="C315" s="19" t="s">
        <v>829</v>
      </c>
    </row>
    <row r="316" spans="1:3" ht="38.25">
      <c r="A316" s="19" t="s">
        <v>830</v>
      </c>
      <c r="C316" s="19" t="s">
        <v>831</v>
      </c>
    </row>
    <row r="317" spans="1:3" ht="51">
      <c r="A317" s="19" t="s">
        <v>832</v>
      </c>
      <c r="C317" s="19" t="s">
        <v>833</v>
      </c>
    </row>
    <row r="318" spans="1:3" ht="25.5">
      <c r="A318" s="19" t="s">
        <v>834</v>
      </c>
      <c r="C318" s="19" t="s">
        <v>835</v>
      </c>
    </row>
    <row r="319" spans="1:3" ht="38.25">
      <c r="A319" s="19" t="s">
        <v>836</v>
      </c>
      <c r="C319" s="19" t="s">
        <v>831</v>
      </c>
    </row>
    <row r="320" spans="1:3" ht="38.25">
      <c r="A320" s="19" t="s">
        <v>837</v>
      </c>
      <c r="C320" s="19" t="s">
        <v>838</v>
      </c>
    </row>
    <row r="321" spans="1:3" ht="25.5">
      <c r="A321" s="19" t="s">
        <v>839</v>
      </c>
      <c r="C321" s="19" t="s">
        <v>840</v>
      </c>
    </row>
    <row r="322" spans="1:3" ht="25.5">
      <c r="A322" s="19" t="s">
        <v>841</v>
      </c>
      <c r="C322" s="19" t="s">
        <v>842</v>
      </c>
    </row>
    <row r="323" spans="1:3" ht="25.5">
      <c r="A323" s="19" t="s">
        <v>843</v>
      </c>
      <c r="C323" s="19" t="s">
        <v>844</v>
      </c>
    </row>
    <row r="324" spans="1:3" ht="38.25">
      <c r="A324" s="19" t="s">
        <v>845</v>
      </c>
      <c r="C324" s="19" t="s">
        <v>846</v>
      </c>
    </row>
    <row r="325" spans="1:3" ht="25.5">
      <c r="A325" s="19" t="s">
        <v>847</v>
      </c>
      <c r="C325" s="19" t="s">
        <v>848</v>
      </c>
    </row>
    <row r="326" spans="1:3" ht="25.5">
      <c r="A326" s="19" t="s">
        <v>849</v>
      </c>
      <c r="C326" s="19" t="s">
        <v>850</v>
      </c>
    </row>
    <row r="327" spans="1:3" ht="38.25">
      <c r="A327" s="19" t="s">
        <v>851</v>
      </c>
      <c r="C327" s="19" t="s">
        <v>852</v>
      </c>
    </row>
    <row r="328" spans="1:3" ht="25.5">
      <c r="A328" s="19" t="s">
        <v>853</v>
      </c>
      <c r="C328" s="19" t="s">
        <v>854</v>
      </c>
    </row>
    <row r="329" spans="1:3" ht="25.5">
      <c r="A329" s="19" t="s">
        <v>855</v>
      </c>
      <c r="C329" s="19" t="s">
        <v>856</v>
      </c>
    </row>
    <row r="330" spans="1:3" ht="25.5">
      <c r="A330" s="19" t="s">
        <v>857</v>
      </c>
      <c r="C330" s="19" t="s">
        <v>844</v>
      </c>
    </row>
    <row r="331" spans="1:3" ht="25.5">
      <c r="A331" s="19" t="s">
        <v>858</v>
      </c>
      <c r="C331" s="19" t="s">
        <v>856</v>
      </c>
    </row>
    <row r="332" spans="1:3" ht="25.5">
      <c r="A332" s="19" t="s">
        <v>859</v>
      </c>
      <c r="C332" s="19" t="s">
        <v>844</v>
      </c>
    </row>
    <row r="334" spans="1:5" ht="25.5">
      <c r="A334" s="19">
        <v>423700</v>
      </c>
      <c r="C334" s="19" t="s">
        <v>860</v>
      </c>
      <c r="E334" s="19" t="s">
        <v>861</v>
      </c>
    </row>
    <row r="335" spans="1:5" ht="25.5">
      <c r="A335" s="19">
        <v>423710</v>
      </c>
      <c r="B335" s="19" t="s">
        <v>280</v>
      </c>
      <c r="C335" s="19" t="s">
        <v>862</v>
      </c>
      <c r="E335" s="19" t="s">
        <v>863</v>
      </c>
    </row>
    <row r="336" spans="1:5" ht="25.5">
      <c r="A336" s="19">
        <v>423719</v>
      </c>
      <c r="C336" s="19" t="s">
        <v>864</v>
      </c>
      <c r="E336" s="19" t="s">
        <v>865</v>
      </c>
    </row>
    <row r="337" spans="1:5" ht="25.5">
      <c r="A337" s="19">
        <v>423731</v>
      </c>
      <c r="C337" s="19" t="s">
        <v>866</v>
      </c>
      <c r="E337" s="19" t="s">
        <v>867</v>
      </c>
    </row>
    <row r="338" spans="1:5" ht="25.5">
      <c r="A338" s="19">
        <v>423732</v>
      </c>
      <c r="C338" s="19" t="s">
        <v>862</v>
      </c>
      <c r="E338" s="19" t="s">
        <v>867</v>
      </c>
    </row>
    <row r="339" spans="1:5" ht="25.5">
      <c r="A339" s="19">
        <v>793725</v>
      </c>
      <c r="C339" s="19" t="s">
        <v>868</v>
      </c>
      <c r="E339" s="19" t="s">
        <v>869</v>
      </c>
    </row>
    <row r="340" spans="1:5" ht="25.5">
      <c r="A340" s="19">
        <v>793730</v>
      </c>
      <c r="C340" s="19" t="s">
        <v>868</v>
      </c>
      <c r="E340" s="19" t="s">
        <v>869</v>
      </c>
    </row>
    <row r="341" spans="1:5" ht="25.5">
      <c r="A341" s="19">
        <v>793733</v>
      </c>
      <c r="C341" s="19" t="s">
        <v>868</v>
      </c>
      <c r="E341" s="19" t="s">
        <v>869</v>
      </c>
    </row>
    <row r="343" spans="1:3" ht="25.5">
      <c r="A343" s="19" t="s">
        <v>870</v>
      </c>
      <c r="C343" s="19" t="s">
        <v>871</v>
      </c>
    </row>
    <row r="344" spans="1:3" ht="25.5">
      <c r="A344" s="19" t="s">
        <v>872</v>
      </c>
      <c r="C344" s="19" t="s">
        <v>873</v>
      </c>
    </row>
    <row r="345" spans="1:3" ht="25.5">
      <c r="A345" s="19" t="s">
        <v>874</v>
      </c>
      <c r="C345" s="19" t="s">
        <v>875</v>
      </c>
    </row>
    <row r="346" spans="1:3" ht="38.25">
      <c r="A346" s="19" t="s">
        <v>876</v>
      </c>
      <c r="C346" s="19" t="s">
        <v>877</v>
      </c>
    </row>
    <row r="347" spans="1:3" ht="38.25">
      <c r="A347" s="19" t="s">
        <v>878</v>
      </c>
      <c r="C347" s="19" t="s">
        <v>879</v>
      </c>
    </row>
    <row r="348" spans="1:3" ht="38.25">
      <c r="A348" s="19" t="s">
        <v>880</v>
      </c>
      <c r="C348" s="19" t="s">
        <v>881</v>
      </c>
    </row>
    <row r="352" spans="1:10" ht="12.75">
      <c r="A352" s="19" t="s">
        <v>882</v>
      </c>
      <c r="F352" s="19" t="s">
        <v>883</v>
      </c>
      <c r="J352" t="s">
        <v>169</v>
      </c>
    </row>
    <row r="354" spans="1:7" ht="25.5">
      <c r="A354" s="19" t="s">
        <v>884</v>
      </c>
      <c r="C354" s="19" t="s">
        <v>885</v>
      </c>
      <c r="G354" s="19" t="s">
        <v>886</v>
      </c>
    </row>
    <row r="355" spans="1:3" ht="63.75">
      <c r="A355" s="19" t="s">
        <v>887</v>
      </c>
      <c r="C355" s="19" t="s">
        <v>888</v>
      </c>
    </row>
    <row r="356" spans="1:7" ht="25.5">
      <c r="A356" s="19" t="s">
        <v>887</v>
      </c>
      <c r="C356" s="19" t="s">
        <v>889</v>
      </c>
      <c r="G356" s="19" t="s">
        <v>890</v>
      </c>
    </row>
    <row r="357" spans="1:3" ht="51">
      <c r="A357" s="19" t="s">
        <v>891</v>
      </c>
      <c r="C357" s="19" t="s">
        <v>892</v>
      </c>
    </row>
    <row r="358" spans="1:7" ht="25.5">
      <c r="A358" s="19" t="s">
        <v>893</v>
      </c>
      <c r="C358" s="19" t="s">
        <v>894</v>
      </c>
      <c r="G358" s="19" t="s">
        <v>895</v>
      </c>
    </row>
    <row r="359" spans="1:3" ht="51">
      <c r="A359" s="19" t="s">
        <v>896</v>
      </c>
      <c r="C359" s="19" t="s">
        <v>897</v>
      </c>
    </row>
    <row r="360" spans="1:3" ht="63.75">
      <c r="A360" s="19" t="s">
        <v>898</v>
      </c>
      <c r="C360" s="19" t="s">
        <v>888</v>
      </c>
    </row>
    <row r="361" spans="1:7" ht="25.5">
      <c r="A361" s="19" t="s">
        <v>898</v>
      </c>
      <c r="C361" s="19" t="s">
        <v>889</v>
      </c>
      <c r="D361" s="19" t="s">
        <v>899</v>
      </c>
      <c r="G361" s="19" t="s">
        <v>890</v>
      </c>
    </row>
    <row r="362" spans="1:3" ht="51">
      <c r="A362" s="19" t="s">
        <v>900</v>
      </c>
      <c r="C362" s="19" t="s">
        <v>901</v>
      </c>
    </row>
    <row r="363" spans="1:3" ht="63.75">
      <c r="A363" s="19" t="s">
        <v>902</v>
      </c>
      <c r="C363" s="19" t="s">
        <v>903</v>
      </c>
    </row>
    <row r="364" spans="1:3" ht="51">
      <c r="A364" s="19">
        <v>4532586</v>
      </c>
      <c r="C364" s="19" t="s">
        <v>904</v>
      </c>
    </row>
    <row r="365" spans="1:3" ht="51">
      <c r="A365" s="19" t="s">
        <v>905</v>
      </c>
      <c r="C365" s="19" t="s">
        <v>906</v>
      </c>
    </row>
    <row r="366" spans="1:7" ht="25.5">
      <c r="A366" s="19" t="s">
        <v>907</v>
      </c>
      <c r="C366" s="19" t="s">
        <v>894</v>
      </c>
      <c r="G366" s="19" t="s">
        <v>908</v>
      </c>
    </row>
    <row r="367" spans="1:7" ht="25.5">
      <c r="A367" s="19" t="s">
        <v>909</v>
      </c>
      <c r="C367" s="19" t="s">
        <v>894</v>
      </c>
      <c r="G367" s="19" t="s">
        <v>910</v>
      </c>
    </row>
    <row r="368" spans="1:7" ht="25.5">
      <c r="A368" s="19" t="s">
        <v>911</v>
      </c>
      <c r="C368" s="19" t="s">
        <v>912</v>
      </c>
      <c r="G368" s="19" t="s">
        <v>913</v>
      </c>
    </row>
    <row r="369" spans="1:7" ht="25.5">
      <c r="A369" s="19" t="s">
        <v>914</v>
      </c>
      <c r="C369" s="19" t="s">
        <v>915</v>
      </c>
      <c r="G369" s="19" t="s">
        <v>913</v>
      </c>
    </row>
    <row r="371" ht="12.75">
      <c r="A371" s="19" t="s">
        <v>916</v>
      </c>
    </row>
    <row r="374" spans="1:7" ht="25.5">
      <c r="A374" s="19" t="s">
        <v>917</v>
      </c>
      <c r="C374" s="19" t="s">
        <v>918</v>
      </c>
      <c r="G374" s="19" t="s">
        <v>169</v>
      </c>
    </row>
    <row r="376" spans="1:2" ht="51">
      <c r="A376" s="19" t="s">
        <v>919</v>
      </c>
      <c r="B376" s="19" t="s">
        <v>920</v>
      </c>
    </row>
    <row r="377" spans="1:2" ht="38.25">
      <c r="A377" s="19" t="s">
        <v>921</v>
      </c>
      <c r="B377" s="19" t="s">
        <v>922</v>
      </c>
    </row>
    <row r="378" spans="1:2" ht="38.25">
      <c r="A378" s="19" t="s">
        <v>923</v>
      </c>
      <c r="B378" s="19" t="s">
        <v>924</v>
      </c>
    </row>
    <row r="379" ht="12.75">
      <c r="A379" s="19" t="s">
        <v>925</v>
      </c>
    </row>
    <row r="380" spans="1:2" ht="38.25">
      <c r="A380" s="19" t="s">
        <v>926</v>
      </c>
      <c r="B380" s="19" t="s">
        <v>927</v>
      </c>
    </row>
    <row r="381" spans="1:2" ht="38.25">
      <c r="A381" s="19" t="s">
        <v>926</v>
      </c>
      <c r="B381" s="19" t="s">
        <v>928</v>
      </c>
    </row>
    <row r="382" spans="1:7" ht="12.75">
      <c r="A382" s="19" t="s">
        <v>929</v>
      </c>
      <c r="C382" s="19" t="s">
        <v>930</v>
      </c>
      <c r="F382" s="19" t="s">
        <v>931</v>
      </c>
      <c r="G382" s="19" t="s">
        <v>932</v>
      </c>
    </row>
    <row r="383" spans="1:6" ht="25.5">
      <c r="A383" s="19" t="s">
        <v>933</v>
      </c>
      <c r="C383" s="19" t="s">
        <v>930</v>
      </c>
      <c r="F383" s="19" t="s">
        <v>934</v>
      </c>
    </row>
    <row r="384" ht="12.75">
      <c r="A384" s="19" t="s">
        <v>935</v>
      </c>
    </row>
    <row r="385" spans="1:2" ht="38.25">
      <c r="A385" s="19" t="s">
        <v>940</v>
      </c>
      <c r="B385" s="19" t="s">
        <v>941</v>
      </c>
    </row>
    <row r="386" spans="1:2" ht="38.25">
      <c r="A386" s="19" t="s">
        <v>942</v>
      </c>
      <c r="B386" s="19" t="s">
        <v>943</v>
      </c>
    </row>
    <row r="387" spans="1:2" ht="38.25">
      <c r="A387" s="19" t="s">
        <v>944</v>
      </c>
      <c r="B387" s="19" t="s">
        <v>945</v>
      </c>
    </row>
    <row r="388" ht="12.75">
      <c r="A388" s="19" t="s">
        <v>946</v>
      </c>
    </row>
    <row r="389" spans="1:2" ht="38.25">
      <c r="A389" s="19" t="s">
        <v>947</v>
      </c>
      <c r="B389" s="19" t="s">
        <v>948</v>
      </c>
    </row>
    <row r="390" ht="12.75">
      <c r="A390" s="19" t="s">
        <v>949</v>
      </c>
    </row>
    <row r="391" spans="1:2" ht="38.25">
      <c r="A391" s="19" t="s">
        <v>950</v>
      </c>
      <c r="B391" s="19" t="s">
        <v>951</v>
      </c>
    </row>
    <row r="392" spans="1:7" ht="12.75">
      <c r="A392" s="19" t="s">
        <v>952</v>
      </c>
      <c r="C392" s="19" t="s">
        <v>953</v>
      </c>
      <c r="F392" s="19" t="s">
        <v>954</v>
      </c>
      <c r="G392" s="19" t="s">
        <v>955</v>
      </c>
    </row>
    <row r="393" spans="1:6" ht="25.5">
      <c r="A393" s="19" t="s">
        <v>952</v>
      </c>
      <c r="C393" s="19" t="s">
        <v>930</v>
      </c>
      <c r="F393" s="19" t="s">
        <v>956</v>
      </c>
    </row>
    <row r="394" ht="12.75">
      <c r="A394" s="19" t="s">
        <v>957</v>
      </c>
    </row>
    <row r="395" spans="1:6" ht="38.25">
      <c r="A395" s="19" t="s">
        <v>958</v>
      </c>
      <c r="C395" s="19" t="s">
        <v>930</v>
      </c>
      <c r="F395" s="19" t="s">
        <v>959</v>
      </c>
    </row>
    <row r="396" spans="1:2" ht="38.25">
      <c r="A396" s="19" t="s">
        <v>960</v>
      </c>
      <c r="B396" s="19" t="s">
        <v>961</v>
      </c>
    </row>
    <row r="397" ht="12.75">
      <c r="A397" s="19" t="s">
        <v>962</v>
      </c>
    </row>
    <row r="398" spans="1:6" ht="25.5">
      <c r="A398" s="19" t="s">
        <v>963</v>
      </c>
      <c r="C398" s="19" t="s">
        <v>964</v>
      </c>
      <c r="F398" s="19" t="s">
        <v>965</v>
      </c>
    </row>
    <row r="399" ht="12.75">
      <c r="A399" s="19" t="s">
        <v>966</v>
      </c>
    </row>
    <row r="400" spans="1:2" ht="38.25">
      <c r="A400" s="19" t="s">
        <v>967</v>
      </c>
      <c r="B400" s="19" t="s">
        <v>968</v>
      </c>
    </row>
    <row r="401" spans="1:2" ht="38.25">
      <c r="A401" s="19" t="s">
        <v>969</v>
      </c>
      <c r="B401" s="19" t="s">
        <v>989</v>
      </c>
    </row>
    <row r="402" spans="1:2" ht="38.25">
      <c r="A402" s="19" t="s">
        <v>990</v>
      </c>
      <c r="B402" s="19" t="s">
        <v>991</v>
      </c>
    </row>
    <row r="403" spans="1:2" ht="38.25">
      <c r="A403" s="19" t="s">
        <v>992</v>
      </c>
      <c r="B403" s="19" t="s">
        <v>993</v>
      </c>
    </row>
    <row r="404" spans="1:2" ht="51">
      <c r="A404" s="19" t="s">
        <v>994</v>
      </c>
      <c r="B404" s="19" t="s">
        <v>995</v>
      </c>
    </row>
    <row r="405" spans="1:2" ht="51">
      <c r="A405" s="19" t="s">
        <v>996</v>
      </c>
      <c r="B405" s="19" t="s">
        <v>997</v>
      </c>
    </row>
    <row r="406" spans="1:2" ht="38.25">
      <c r="A406" s="19" t="s">
        <v>998</v>
      </c>
      <c r="B406" s="19" t="s">
        <v>999</v>
      </c>
    </row>
    <row r="407" spans="1:2" ht="38.25">
      <c r="A407" s="19" t="s">
        <v>1000</v>
      </c>
      <c r="B407" s="19" t="s">
        <v>1001</v>
      </c>
    </row>
    <row r="408" ht="12.75">
      <c r="A408" s="19" t="s">
        <v>1002</v>
      </c>
    </row>
    <row r="409" spans="1:2" ht="51">
      <c r="A409" s="19" t="s">
        <v>1003</v>
      </c>
      <c r="B409" s="19" t="s">
        <v>1004</v>
      </c>
    </row>
    <row r="410" spans="1:2" ht="38.25">
      <c r="A410" s="19" t="s">
        <v>1005</v>
      </c>
      <c r="B410" s="19" t="s">
        <v>1006</v>
      </c>
    </row>
    <row r="411" ht="12.75">
      <c r="A411" s="19" t="s">
        <v>1007</v>
      </c>
    </row>
    <row r="412" spans="1:4" ht="38.25">
      <c r="A412" s="19" t="s">
        <v>1008</v>
      </c>
      <c r="B412" s="19" t="s">
        <v>1009</v>
      </c>
      <c r="D412" s="19" t="s">
        <v>1010</v>
      </c>
    </row>
    <row r="413" spans="1:4" ht="38.25">
      <c r="A413" s="19" t="s">
        <v>1011</v>
      </c>
      <c r="B413" s="19" t="s">
        <v>1012</v>
      </c>
      <c r="D413" s="19" t="s">
        <v>1010</v>
      </c>
    </row>
    <row r="414" spans="1:4" ht="38.25">
      <c r="A414" s="19" t="s">
        <v>1013</v>
      </c>
      <c r="B414" s="19" t="s">
        <v>1014</v>
      </c>
      <c r="D414" s="19" t="s">
        <v>1010</v>
      </c>
    </row>
    <row r="415" spans="1:4" ht="38.25">
      <c r="A415" s="19" t="s">
        <v>1015</v>
      </c>
      <c r="B415" s="19" t="s">
        <v>1016</v>
      </c>
      <c r="D415" s="19" t="s">
        <v>1010</v>
      </c>
    </row>
    <row r="418" spans="1:2" ht="25.5">
      <c r="A418" s="19" t="s">
        <v>1017</v>
      </c>
      <c r="B418" s="19" t="s">
        <v>1018</v>
      </c>
    </row>
    <row r="420" spans="1:2" ht="51">
      <c r="A420" s="19" t="s">
        <v>1019</v>
      </c>
      <c r="B420" s="19" t="s">
        <v>1020</v>
      </c>
    </row>
    <row r="421" spans="1:2" ht="51">
      <c r="A421" s="19" t="s">
        <v>1021</v>
      </c>
      <c r="B421" s="19" t="s">
        <v>1022</v>
      </c>
    </row>
    <row r="422" spans="1:2" ht="51">
      <c r="A422" s="19" t="s">
        <v>1023</v>
      </c>
      <c r="B422" s="19" t="s">
        <v>1024</v>
      </c>
    </row>
    <row r="423" spans="1:2" ht="51">
      <c r="A423" s="19" t="s">
        <v>1025</v>
      </c>
      <c r="B423" s="19" t="s">
        <v>1026</v>
      </c>
    </row>
    <row r="425" ht="12.75">
      <c r="A425" s="19" t="s">
        <v>1027</v>
      </c>
    </row>
    <row r="428" ht="25.5">
      <c r="A428" s="19" t="s">
        <v>1028</v>
      </c>
    </row>
    <row r="430" spans="1:4" ht="38.25">
      <c r="A430" s="19">
        <v>5107010</v>
      </c>
      <c r="B430" s="19" t="s">
        <v>1029</v>
      </c>
      <c r="D430" s="19" t="s">
        <v>1030</v>
      </c>
    </row>
    <row r="431" spans="1:4" ht="38.25">
      <c r="A431" s="19">
        <v>5202001</v>
      </c>
      <c r="B431" s="19" t="s">
        <v>1031</v>
      </c>
      <c r="D431" s="19" t="s">
        <v>1032</v>
      </c>
    </row>
    <row r="432" spans="1:4" ht="38.25">
      <c r="A432" s="19">
        <v>5204001</v>
      </c>
      <c r="B432" s="19" t="s">
        <v>1031</v>
      </c>
      <c r="D432" s="19" t="s">
        <v>1033</v>
      </c>
    </row>
    <row r="433" spans="1:4" ht="38.25">
      <c r="A433" s="19">
        <v>5206002</v>
      </c>
      <c r="B433" s="19" t="s">
        <v>1031</v>
      </c>
      <c r="D433" s="19" t="s">
        <v>1034</v>
      </c>
    </row>
    <row r="434" spans="1:4" ht="38.25">
      <c r="A434" s="19">
        <v>5206003</v>
      </c>
      <c r="B434" s="19" t="s">
        <v>1035</v>
      </c>
      <c r="D434" s="19" t="s">
        <v>1036</v>
      </c>
    </row>
    <row r="435" spans="1:4" ht="38.25">
      <c r="A435" s="19">
        <v>5206004</v>
      </c>
      <c r="B435" s="19" t="s">
        <v>1037</v>
      </c>
      <c r="D435" s="19" t="s">
        <v>1038</v>
      </c>
    </row>
    <row r="436" spans="1:4" ht="38.25">
      <c r="A436" s="19">
        <v>5207002</v>
      </c>
      <c r="B436" s="19" t="s">
        <v>1031</v>
      </c>
      <c r="D436" s="19" t="s">
        <v>1039</v>
      </c>
    </row>
    <row r="437" spans="1:4" ht="38.25">
      <c r="A437" s="19">
        <v>5207003</v>
      </c>
      <c r="B437" s="19" t="s">
        <v>1040</v>
      </c>
      <c r="D437" s="19" t="s">
        <v>1041</v>
      </c>
    </row>
    <row r="438" spans="1:4" ht="38.25">
      <c r="A438" s="19">
        <v>5207005</v>
      </c>
      <c r="B438" s="19" t="s">
        <v>1042</v>
      </c>
      <c r="D438" s="19" t="s">
        <v>1043</v>
      </c>
    </row>
    <row r="439" spans="1:4" ht="38.25">
      <c r="A439" s="19">
        <v>5207006</v>
      </c>
      <c r="B439" s="19" t="s">
        <v>1044</v>
      </c>
      <c r="D439" s="19" t="s">
        <v>1045</v>
      </c>
    </row>
    <row r="440" spans="1:4" ht="38.25">
      <c r="A440" s="19">
        <v>5207007</v>
      </c>
      <c r="B440" s="19" t="s">
        <v>1035</v>
      </c>
      <c r="D440" s="19" t="s">
        <v>1046</v>
      </c>
    </row>
    <row r="441" spans="1:4" ht="38.25">
      <c r="A441" s="19">
        <v>5207008</v>
      </c>
      <c r="B441" s="19" t="s">
        <v>1047</v>
      </c>
      <c r="D441" s="19" t="s">
        <v>1045</v>
      </c>
    </row>
    <row r="442" spans="1:4" ht="38.25">
      <c r="A442" s="19">
        <v>5207009</v>
      </c>
      <c r="B442" s="19" t="s">
        <v>1048</v>
      </c>
      <c r="D442" s="19" t="s">
        <v>1049</v>
      </c>
    </row>
    <row r="443" spans="1:4" ht="38.25">
      <c r="A443" s="19">
        <v>5207009</v>
      </c>
      <c r="B443" s="19" t="s">
        <v>1050</v>
      </c>
      <c r="D443" s="19" t="s">
        <v>1051</v>
      </c>
    </row>
    <row r="444" spans="1:4" ht="38.25">
      <c r="A444" s="19">
        <v>5207011</v>
      </c>
      <c r="B444" s="19" t="s">
        <v>1052</v>
      </c>
      <c r="D444" s="19" t="s">
        <v>1053</v>
      </c>
    </row>
    <row r="445" spans="1:4" ht="38.25">
      <c r="A445" s="19">
        <v>5207013</v>
      </c>
      <c r="B445" s="19" t="s">
        <v>1054</v>
      </c>
      <c r="D445" s="19" t="s">
        <v>1055</v>
      </c>
    </row>
    <row r="446" spans="1:4" ht="38.25">
      <c r="A446" s="19">
        <v>5207600</v>
      </c>
      <c r="B446" s="19" t="s">
        <v>1056</v>
      </c>
      <c r="D446" s="19" t="s">
        <v>253</v>
      </c>
    </row>
    <row r="447" spans="1:4" ht="38.25">
      <c r="A447" s="19">
        <v>5207601</v>
      </c>
      <c r="B447" s="19" t="s">
        <v>1042</v>
      </c>
      <c r="D447" s="19" t="s">
        <v>1057</v>
      </c>
    </row>
    <row r="448" spans="1:4" ht="38.25">
      <c r="A448" s="19">
        <v>5207602</v>
      </c>
      <c r="B448" s="19" t="s">
        <v>1058</v>
      </c>
      <c r="D448" s="19" t="s">
        <v>1057</v>
      </c>
    </row>
    <row r="449" spans="1:4" ht="38.25">
      <c r="A449" s="19">
        <v>5208001</v>
      </c>
      <c r="B449" s="19" t="s">
        <v>1031</v>
      </c>
      <c r="D449" s="19" t="s">
        <v>1059</v>
      </c>
    </row>
    <row r="450" spans="1:4" ht="38.25">
      <c r="A450" s="19">
        <v>5208003</v>
      </c>
      <c r="B450" s="19" t="s">
        <v>1031</v>
      </c>
      <c r="D450" s="19" t="s">
        <v>1060</v>
      </c>
    </row>
    <row r="451" spans="1:4" ht="38.25">
      <c r="A451" s="19">
        <v>5208004</v>
      </c>
      <c r="B451" s="19" t="s">
        <v>1061</v>
      </c>
      <c r="D451" s="19" t="s">
        <v>1062</v>
      </c>
    </row>
    <row r="452" spans="1:4" ht="38.25">
      <c r="A452" s="19">
        <v>5208005</v>
      </c>
      <c r="B452" s="19" t="s">
        <v>1061</v>
      </c>
      <c r="D452" s="19" t="s">
        <v>1063</v>
      </c>
    </row>
    <row r="453" spans="1:4" ht="38.25">
      <c r="A453" s="19">
        <v>5208006</v>
      </c>
      <c r="B453" s="19" t="s">
        <v>1040</v>
      </c>
      <c r="D453" s="19" t="s">
        <v>1064</v>
      </c>
    </row>
    <row r="454" spans="1:4" ht="38.25">
      <c r="A454" s="19">
        <v>5208007</v>
      </c>
      <c r="B454" s="19" t="s">
        <v>1031</v>
      </c>
      <c r="D454" s="19" t="s">
        <v>1065</v>
      </c>
    </row>
    <row r="455" spans="1:4" ht="38.25">
      <c r="A455" s="19">
        <v>5208008</v>
      </c>
      <c r="B455" s="19" t="s">
        <v>1066</v>
      </c>
      <c r="D455" s="19" t="s">
        <v>1067</v>
      </c>
    </row>
    <row r="456" spans="1:4" ht="38.25">
      <c r="A456" s="19">
        <v>5208009</v>
      </c>
      <c r="B456" s="19" t="s">
        <v>1069</v>
      </c>
      <c r="D456" s="19" t="s">
        <v>1070</v>
      </c>
    </row>
    <row r="457" spans="1:4" ht="38.25">
      <c r="A457" s="19">
        <v>5208010</v>
      </c>
      <c r="B457" s="19" t="s">
        <v>1071</v>
      </c>
      <c r="D457" s="19" t="s">
        <v>1057</v>
      </c>
    </row>
    <row r="458" spans="1:4" ht="38.25">
      <c r="A458" s="19" t="s">
        <v>1072</v>
      </c>
      <c r="B458" s="19" t="s">
        <v>1073</v>
      </c>
      <c r="D458" s="19" t="s">
        <v>1074</v>
      </c>
    </row>
    <row r="459" spans="1:4" ht="38.25">
      <c r="A459" s="19" t="s">
        <v>1075</v>
      </c>
      <c r="B459" s="19" t="s">
        <v>1073</v>
      </c>
      <c r="D459" s="19" t="s">
        <v>1076</v>
      </c>
    </row>
    <row r="460" spans="1:4" ht="38.25">
      <c r="A460" s="19" t="s">
        <v>1077</v>
      </c>
      <c r="B460" s="19" t="s">
        <v>1073</v>
      </c>
      <c r="D460" s="19" t="s">
        <v>1074</v>
      </c>
    </row>
    <row r="461" spans="1:4" ht="38.25">
      <c r="A461" s="19" t="s">
        <v>1078</v>
      </c>
      <c r="B461" s="19" t="s">
        <v>1079</v>
      </c>
      <c r="D461" s="19" t="s">
        <v>1080</v>
      </c>
    </row>
    <row r="463" spans="1:4" ht="38.25">
      <c r="A463" s="19" t="s">
        <v>1081</v>
      </c>
      <c r="B463" s="19" t="s">
        <v>173</v>
      </c>
      <c r="D463" s="19" t="s">
        <v>253</v>
      </c>
    </row>
    <row r="464" spans="1:4" ht="38.25">
      <c r="A464" s="19" t="s">
        <v>1082</v>
      </c>
      <c r="B464" s="19" t="s">
        <v>173</v>
      </c>
      <c r="D464" s="19" t="s">
        <v>253</v>
      </c>
    </row>
    <row r="465" spans="1:4" ht="38.25">
      <c r="A465" s="19" t="s">
        <v>1083</v>
      </c>
      <c r="B465" s="19" t="s">
        <v>173</v>
      </c>
      <c r="D465" s="19" t="s">
        <v>253</v>
      </c>
    </row>
    <row r="466" spans="1:4" ht="38.25">
      <c r="A466" s="19" t="s">
        <v>1084</v>
      </c>
      <c r="B466" s="19" t="s">
        <v>173</v>
      </c>
      <c r="D466" s="19" t="s">
        <v>253</v>
      </c>
    </row>
    <row r="467" spans="1:4" ht="38.25">
      <c r="A467" s="19" t="s">
        <v>1085</v>
      </c>
      <c r="B467" s="19" t="s">
        <v>173</v>
      </c>
      <c r="D467" s="19" t="s">
        <v>253</v>
      </c>
    </row>
    <row r="468" spans="1:4" ht="38.25">
      <c r="A468" s="19" t="s">
        <v>1086</v>
      </c>
      <c r="B468" s="19" t="s">
        <v>173</v>
      </c>
      <c r="D468" s="19" t="s">
        <v>253</v>
      </c>
    </row>
    <row r="469" spans="1:4" ht="38.25">
      <c r="A469" s="19" t="s">
        <v>1087</v>
      </c>
      <c r="B469" s="19" t="s">
        <v>173</v>
      </c>
      <c r="D469" s="19" t="s">
        <v>253</v>
      </c>
    </row>
    <row r="470" spans="1:4" ht="38.25">
      <c r="A470" s="19" t="s">
        <v>1088</v>
      </c>
      <c r="B470" s="19" t="s">
        <v>173</v>
      </c>
      <c r="D470" s="19" t="s">
        <v>253</v>
      </c>
    </row>
    <row r="471" spans="1:4" ht="38.25">
      <c r="A471" s="19" t="s">
        <v>1089</v>
      </c>
      <c r="B471" s="19" t="s">
        <v>1090</v>
      </c>
      <c r="D471" s="19" t="s">
        <v>253</v>
      </c>
    </row>
    <row r="472" spans="1:4" ht="38.25">
      <c r="A472" s="19" t="s">
        <v>1091</v>
      </c>
      <c r="B472" s="19" t="s">
        <v>173</v>
      </c>
      <c r="D472" s="19" t="s">
        <v>253</v>
      </c>
    </row>
    <row r="473" spans="1:4" ht="38.25">
      <c r="A473" s="19" t="s">
        <v>1092</v>
      </c>
      <c r="B473" s="19" t="s">
        <v>173</v>
      </c>
      <c r="D473" s="19" t="s">
        <v>253</v>
      </c>
    </row>
    <row r="474" spans="1:4" ht="38.25">
      <c r="A474" s="19" t="s">
        <v>1093</v>
      </c>
      <c r="B474" s="19" t="s">
        <v>173</v>
      </c>
      <c r="D474" s="19" t="s">
        <v>253</v>
      </c>
    </row>
    <row r="475" spans="1:4" ht="38.25">
      <c r="A475" s="19" t="s">
        <v>1094</v>
      </c>
      <c r="B475" s="19" t="s">
        <v>173</v>
      </c>
      <c r="D475" s="19" t="s">
        <v>253</v>
      </c>
    </row>
    <row r="476" spans="1:4" ht="38.25">
      <c r="A476" s="19" t="s">
        <v>1095</v>
      </c>
      <c r="B476" s="19" t="s">
        <v>173</v>
      </c>
      <c r="D476" s="19" t="s">
        <v>253</v>
      </c>
    </row>
    <row r="477" spans="1:4" ht="38.25">
      <c r="A477" s="19" t="s">
        <v>1096</v>
      </c>
      <c r="B477" s="19" t="s">
        <v>173</v>
      </c>
      <c r="D477" s="19" t="s">
        <v>253</v>
      </c>
    </row>
    <row r="478" spans="1:4" ht="38.25">
      <c r="A478" s="19" t="s">
        <v>1097</v>
      </c>
      <c r="B478" s="19" t="s">
        <v>173</v>
      </c>
      <c r="D478" s="19" t="s">
        <v>253</v>
      </c>
    </row>
    <row r="480" spans="1:4" ht="38.25">
      <c r="A480" s="19" t="s">
        <v>1098</v>
      </c>
      <c r="B480" s="19" t="s">
        <v>1079</v>
      </c>
      <c r="D480" s="19" t="s">
        <v>1101</v>
      </c>
    </row>
    <row r="483" spans="1:2" ht="12.75">
      <c r="A483" s="19" t="s">
        <v>1102</v>
      </c>
      <c r="B483" s="19" t="s">
        <v>169</v>
      </c>
    </row>
    <row r="485" spans="1:3" ht="25.5">
      <c r="A485" s="19" t="s">
        <v>1103</v>
      </c>
      <c r="C485" s="19" t="s">
        <v>1104</v>
      </c>
    </row>
    <row r="486" spans="1:3" ht="25.5">
      <c r="A486" s="19" t="s">
        <v>1105</v>
      </c>
      <c r="C486" s="19" t="s">
        <v>1106</v>
      </c>
    </row>
    <row r="488" ht="12.75">
      <c r="A488" s="19" t="s">
        <v>1027</v>
      </c>
    </row>
    <row r="492" spans="1:3" ht="12.75">
      <c r="A492" s="19" t="s">
        <v>1107</v>
      </c>
      <c r="B492" s="19" t="s">
        <v>1108</v>
      </c>
      <c r="C492" s="19" t="s">
        <v>169</v>
      </c>
    </row>
    <row r="494" spans="1:5" ht="38.25">
      <c r="A494" s="19" t="s">
        <v>1109</v>
      </c>
      <c r="C494" s="19" t="s">
        <v>1110</v>
      </c>
      <c r="E494" s="19" t="s">
        <v>1111</v>
      </c>
    </row>
    <row r="495" spans="1:5" ht="38.25">
      <c r="A495" s="19" t="s">
        <v>1112</v>
      </c>
      <c r="C495" s="19" t="s">
        <v>1110</v>
      </c>
      <c r="E495" s="19" t="s">
        <v>1113</v>
      </c>
    </row>
    <row r="496" spans="1:5" ht="38.25">
      <c r="A496" s="19" t="s">
        <v>1114</v>
      </c>
      <c r="C496" s="19" t="s">
        <v>1110</v>
      </c>
      <c r="E496" s="19" t="s">
        <v>1115</v>
      </c>
    </row>
    <row r="497" spans="1:5" ht="51">
      <c r="A497" s="19" t="s">
        <v>1116</v>
      </c>
      <c r="C497" s="19" t="s">
        <v>1117</v>
      </c>
      <c r="E497" s="19" t="s">
        <v>1118</v>
      </c>
    </row>
    <row r="498" spans="1:5" ht="38.25">
      <c r="A498" s="19" t="s">
        <v>1119</v>
      </c>
      <c r="C498" s="19" t="s">
        <v>1120</v>
      </c>
      <c r="E498" s="19" t="s">
        <v>1121</v>
      </c>
    </row>
    <row r="499" spans="1:5" ht="38.25">
      <c r="A499" s="19" t="s">
        <v>1122</v>
      </c>
      <c r="C499" s="19" t="s">
        <v>1110</v>
      </c>
      <c r="E499" s="19" t="s">
        <v>1123</v>
      </c>
    </row>
    <row r="503" spans="1:7" ht="12.75">
      <c r="A503" s="19" t="s">
        <v>1124</v>
      </c>
      <c r="C503" s="19" t="s">
        <v>1125</v>
      </c>
      <c r="G503" s="19" t="s">
        <v>169</v>
      </c>
    </row>
    <row r="505" spans="1:5" ht="51">
      <c r="A505" s="19">
        <v>2011</v>
      </c>
      <c r="C505" s="19" t="s">
        <v>1126</v>
      </c>
      <c r="E505" s="19" t="s">
        <v>1127</v>
      </c>
    </row>
    <row r="506" spans="1:5" ht="51">
      <c r="A506" s="19">
        <v>2012</v>
      </c>
      <c r="C506" s="19" t="s">
        <v>1128</v>
      </c>
      <c r="E506" s="19" t="s">
        <v>1129</v>
      </c>
    </row>
    <row r="507" spans="1:5" ht="25.5">
      <c r="A507" s="19">
        <v>2013</v>
      </c>
      <c r="C507" s="19" t="s">
        <v>1130</v>
      </c>
      <c r="E507" s="19" t="s">
        <v>1131</v>
      </c>
    </row>
    <row r="508" spans="1:5" ht="51">
      <c r="A508" s="19">
        <v>2014</v>
      </c>
      <c r="C508" s="19" t="s">
        <v>1132</v>
      </c>
      <c r="E508" s="19" t="s">
        <v>1133</v>
      </c>
    </row>
    <row r="509" spans="1:5" ht="51">
      <c r="A509" s="19">
        <v>2015</v>
      </c>
      <c r="C509" s="19" t="s">
        <v>1134</v>
      </c>
      <c r="E509" s="19" t="s">
        <v>1133</v>
      </c>
    </row>
    <row r="510" spans="1:5" ht="25.5">
      <c r="A510" s="19">
        <v>2016</v>
      </c>
      <c r="C510" s="19" t="s">
        <v>1135</v>
      </c>
      <c r="E510" s="19" t="s">
        <v>1136</v>
      </c>
    </row>
    <row r="511" spans="1:5" ht="25.5">
      <c r="A511" s="19">
        <v>2017</v>
      </c>
      <c r="C511" s="19" t="s">
        <v>1137</v>
      </c>
      <c r="E511" s="19" t="s">
        <v>1131</v>
      </c>
    </row>
    <row r="512" spans="1:5" ht="25.5">
      <c r="A512" s="19">
        <v>2018</v>
      </c>
      <c r="C512" s="19" t="s">
        <v>1138</v>
      </c>
      <c r="E512" s="19" t="s">
        <v>1131</v>
      </c>
    </row>
    <row r="516" spans="1:6" ht="12.75">
      <c r="A516" s="19" t="s">
        <v>1139</v>
      </c>
      <c r="B516" s="19" t="s">
        <v>1140</v>
      </c>
      <c r="F516" s="19" t="s">
        <v>169</v>
      </c>
    </row>
    <row r="518" spans="1:5" ht="38.25">
      <c r="A518" s="19" t="s">
        <v>1141</v>
      </c>
      <c r="C518" s="19" t="s">
        <v>1142</v>
      </c>
      <c r="E518" s="19" t="s">
        <v>1143</v>
      </c>
    </row>
    <row r="519" spans="1:4" ht="38.25">
      <c r="A519" s="19" t="s">
        <v>1141</v>
      </c>
      <c r="B519" s="19" t="s">
        <v>1144</v>
      </c>
      <c r="D519" s="19" t="s">
        <v>1145</v>
      </c>
    </row>
    <row r="520" spans="1:5" ht="51">
      <c r="A520" s="19" t="s">
        <v>1146</v>
      </c>
      <c r="C520" s="19" t="s">
        <v>1147</v>
      </c>
      <c r="E520" s="19" t="s">
        <v>1148</v>
      </c>
    </row>
    <row r="521" spans="1:5" ht="38.25">
      <c r="A521" s="19" t="s">
        <v>1149</v>
      </c>
      <c r="C521" s="19" t="s">
        <v>894</v>
      </c>
      <c r="E521" s="19" t="s">
        <v>1150</v>
      </c>
    </row>
    <row r="522" spans="1:5" ht="51">
      <c r="A522" s="19" t="s">
        <v>1151</v>
      </c>
      <c r="C522" s="19" t="s">
        <v>894</v>
      </c>
      <c r="E522" s="19" t="s">
        <v>1152</v>
      </c>
    </row>
    <row r="523" spans="1:5" ht="51">
      <c r="A523" s="19" t="s">
        <v>1153</v>
      </c>
      <c r="C523" s="19" t="s">
        <v>894</v>
      </c>
      <c r="E523" s="19" t="s">
        <v>1154</v>
      </c>
    </row>
    <row r="524" spans="1:5" ht="25.5">
      <c r="A524" s="19" t="s">
        <v>1155</v>
      </c>
      <c r="C524" s="19" t="s">
        <v>894</v>
      </c>
      <c r="E524" s="19" t="s">
        <v>1156</v>
      </c>
    </row>
    <row r="525" spans="1:5" ht="38.25">
      <c r="A525" s="19" t="s">
        <v>1157</v>
      </c>
      <c r="C525" s="19" t="s">
        <v>894</v>
      </c>
      <c r="E525" s="19" t="s">
        <v>1158</v>
      </c>
    </row>
    <row r="526" spans="1:5" ht="38.25">
      <c r="A526" s="19" t="s">
        <v>1159</v>
      </c>
      <c r="C526" s="19" t="s">
        <v>1160</v>
      </c>
      <c r="E526" s="19" t="s">
        <v>1161</v>
      </c>
    </row>
    <row r="527" spans="1:5" ht="38.25">
      <c r="A527" s="19" t="s">
        <v>1162</v>
      </c>
      <c r="C527" s="19" t="s">
        <v>1163</v>
      </c>
      <c r="E527" s="19" t="s">
        <v>1164</v>
      </c>
    </row>
    <row r="528" spans="1:5" ht="25.5">
      <c r="A528" s="19" t="s">
        <v>1165</v>
      </c>
      <c r="C528" s="19" t="s">
        <v>1166</v>
      </c>
      <c r="E528" s="19" t="s">
        <v>1167</v>
      </c>
    </row>
    <row r="529" spans="1:5" ht="25.5">
      <c r="A529" s="19" t="s">
        <v>1168</v>
      </c>
      <c r="C529" s="19" t="s">
        <v>1169</v>
      </c>
      <c r="E529" s="19" t="s">
        <v>1170</v>
      </c>
    </row>
    <row r="533" ht="25.5">
      <c r="A533" s="19" t="s">
        <v>1171</v>
      </c>
    </row>
    <row r="535" spans="1:2" ht="51">
      <c r="A535" s="19" t="s">
        <v>1172</v>
      </c>
      <c r="B535" s="19" t="s">
        <v>1173</v>
      </c>
    </row>
    <row r="536" spans="1:2" ht="63.75">
      <c r="A536" s="19" t="s">
        <v>1174</v>
      </c>
      <c r="B536" s="19" t="s">
        <v>1175</v>
      </c>
    </row>
    <row r="537" spans="1:2" ht="63.75">
      <c r="A537" s="19" t="s">
        <v>1176</v>
      </c>
      <c r="B537" s="19" t="s">
        <v>1175</v>
      </c>
    </row>
    <row r="538" spans="1:2" ht="63.75">
      <c r="A538" s="19" t="s">
        <v>1177</v>
      </c>
      <c r="B538" s="19" t="s">
        <v>1178</v>
      </c>
    </row>
    <row r="539" spans="1:2" ht="63.75">
      <c r="A539" s="19" t="s">
        <v>1179</v>
      </c>
      <c r="B539" s="19" t="s">
        <v>1178</v>
      </c>
    </row>
    <row r="540" spans="1:2" ht="76.5">
      <c r="A540" s="19" t="s">
        <v>1180</v>
      </c>
      <c r="B540" s="19" t="s">
        <v>1181</v>
      </c>
    </row>
    <row r="541" spans="1:2" ht="76.5">
      <c r="A541" s="19" t="s">
        <v>1182</v>
      </c>
      <c r="B541" s="19" t="s">
        <v>1183</v>
      </c>
    </row>
    <row r="542" spans="1:2" ht="63.75">
      <c r="A542" s="19" t="s">
        <v>1184</v>
      </c>
      <c r="B542" s="19" t="s">
        <v>1185</v>
      </c>
    </row>
    <row r="546" ht="25.5">
      <c r="A546" s="19" t="s">
        <v>1186</v>
      </c>
    </row>
    <row r="548" spans="1:2" ht="25.5">
      <c r="A548" s="19" t="s">
        <v>1187</v>
      </c>
      <c r="B548" s="19" t="s">
        <v>1188</v>
      </c>
    </row>
    <row r="549" spans="1:2" ht="25.5">
      <c r="A549" s="19" t="s">
        <v>1189</v>
      </c>
      <c r="B549" s="19" t="s">
        <v>1188</v>
      </c>
    </row>
    <row r="550" spans="1:2" ht="25.5">
      <c r="A550" s="19" t="s">
        <v>1190</v>
      </c>
      <c r="B550" s="19" t="s">
        <v>1188</v>
      </c>
    </row>
    <row r="551" spans="1:2" ht="25.5">
      <c r="A551" s="19" t="s">
        <v>1191</v>
      </c>
      <c r="B551" s="19" t="s">
        <v>1188</v>
      </c>
    </row>
    <row r="552" spans="1:2" ht="76.5">
      <c r="A552" s="19" t="s">
        <v>1192</v>
      </c>
      <c r="B552" s="19" t="s">
        <v>1193</v>
      </c>
    </row>
    <row r="553" spans="1:2" ht="25.5">
      <c r="A553" s="19" t="s">
        <v>1194</v>
      </c>
      <c r="B553" s="19" t="s">
        <v>1188</v>
      </c>
    </row>
    <row r="554" spans="1:2" ht="25.5">
      <c r="A554" s="19" t="s">
        <v>1195</v>
      </c>
      <c r="B554" s="19" t="s">
        <v>1188</v>
      </c>
    </row>
    <row r="555" spans="1:2" ht="25.5">
      <c r="A555" s="19" t="s">
        <v>1196</v>
      </c>
      <c r="B555" s="19" t="s">
        <v>1188</v>
      </c>
    </row>
    <row r="556" spans="1:2" ht="25.5">
      <c r="A556" s="19" t="s">
        <v>1197</v>
      </c>
      <c r="B556" s="19" t="s">
        <v>1188</v>
      </c>
    </row>
    <row r="557" spans="1:2" ht="25.5">
      <c r="A557" s="19" t="s">
        <v>1198</v>
      </c>
      <c r="B557" s="19" t="s">
        <v>1188</v>
      </c>
    </row>
    <row r="558" spans="1:2" ht="51">
      <c r="A558" s="19" t="s">
        <v>1202</v>
      </c>
      <c r="B558" s="19" t="s">
        <v>1203</v>
      </c>
    </row>
    <row r="559" spans="1:2" ht="51">
      <c r="A559" s="19" t="s">
        <v>1204</v>
      </c>
      <c r="B559" s="19" t="s">
        <v>1205</v>
      </c>
    </row>
    <row r="560" spans="1:2" ht="25.5">
      <c r="A560" s="19" t="s">
        <v>1206</v>
      </c>
      <c r="B560" s="19" t="s">
        <v>1188</v>
      </c>
    </row>
    <row r="561" spans="1:2" ht="63.75">
      <c r="A561" s="19" t="s">
        <v>1207</v>
      </c>
      <c r="B561" s="19" t="s">
        <v>1216</v>
      </c>
    </row>
    <row r="562" spans="1:2" ht="25.5">
      <c r="A562" s="19" t="s">
        <v>1217</v>
      </c>
      <c r="B562" s="19" t="s">
        <v>1188</v>
      </c>
    </row>
    <row r="563" spans="1:2" ht="51">
      <c r="A563" s="19" t="s">
        <v>1218</v>
      </c>
      <c r="B563" s="19" t="s">
        <v>1219</v>
      </c>
    </row>
    <row r="564" spans="1:2" ht="25.5">
      <c r="A564" s="19" t="s">
        <v>1220</v>
      </c>
      <c r="B564" s="19" t="s">
        <v>1188</v>
      </c>
    </row>
    <row r="565" spans="1:2" ht="25.5">
      <c r="A565" s="19" t="s">
        <v>1221</v>
      </c>
      <c r="B565" s="19" t="s">
        <v>1188</v>
      </c>
    </row>
    <row r="566" spans="1:2" ht="25.5">
      <c r="A566" s="19" t="s">
        <v>1222</v>
      </c>
      <c r="B566" s="19" t="s">
        <v>1188</v>
      </c>
    </row>
    <row r="567" spans="1:2" ht="25.5">
      <c r="A567" s="19" t="s">
        <v>1223</v>
      </c>
      <c r="B567" s="19" t="s">
        <v>1188</v>
      </c>
    </row>
    <row r="568" spans="1:2" ht="76.5">
      <c r="A568" s="19" t="s">
        <v>1224</v>
      </c>
      <c r="B568" s="19" t="s">
        <v>1240</v>
      </c>
    </row>
    <row r="569" spans="1:2" ht="25.5">
      <c r="A569" s="19" t="s">
        <v>1241</v>
      </c>
      <c r="B569" s="19" t="s">
        <v>1188</v>
      </c>
    </row>
    <row r="570" spans="1:2" ht="51">
      <c r="A570" s="19" t="s">
        <v>1242</v>
      </c>
      <c r="B570" s="19" t="s">
        <v>1243</v>
      </c>
    </row>
    <row r="571" spans="1:2" ht="25.5">
      <c r="A571" s="19" t="s">
        <v>1244</v>
      </c>
      <c r="B571" s="19" t="s">
        <v>1188</v>
      </c>
    </row>
    <row r="572" spans="1:2" ht="25.5">
      <c r="A572" s="19" t="s">
        <v>1245</v>
      </c>
      <c r="B572" s="19" t="s">
        <v>1188</v>
      </c>
    </row>
    <row r="573" spans="1:2" ht="51">
      <c r="A573" s="19" t="s">
        <v>1246</v>
      </c>
      <c r="B573" s="19" t="s">
        <v>1247</v>
      </c>
    </row>
    <row r="574" spans="1:2" ht="51">
      <c r="A574" s="19" t="s">
        <v>1248</v>
      </c>
      <c r="B574" s="19" t="s">
        <v>1249</v>
      </c>
    </row>
    <row r="575" spans="1:2" ht="51">
      <c r="A575" s="19" t="s">
        <v>1250</v>
      </c>
      <c r="B575" s="19" t="s">
        <v>1251</v>
      </c>
    </row>
    <row r="576" spans="1:2" ht="25.5">
      <c r="A576" s="19" t="s">
        <v>1252</v>
      </c>
      <c r="B576" s="19" t="s">
        <v>1188</v>
      </c>
    </row>
    <row r="577" spans="1:2" ht="38.25">
      <c r="A577" s="19" t="s">
        <v>1253</v>
      </c>
      <c r="B577" s="19" t="s">
        <v>1254</v>
      </c>
    </row>
    <row r="578" spans="1:2" ht="25.5">
      <c r="A578" s="19" t="s">
        <v>1255</v>
      </c>
      <c r="B578" s="19" t="s">
        <v>1188</v>
      </c>
    </row>
    <row r="579" spans="1:2" ht="25.5">
      <c r="A579" s="19" t="s">
        <v>1256</v>
      </c>
      <c r="B579" s="19" t="s">
        <v>1188</v>
      </c>
    </row>
    <row r="580" spans="1:2" ht="25.5">
      <c r="A580" s="19" t="s">
        <v>1257</v>
      </c>
      <c r="B580" s="19" t="s">
        <v>1188</v>
      </c>
    </row>
    <row r="581" spans="1:3" ht="38.25">
      <c r="A581" s="19" t="s">
        <v>1258</v>
      </c>
      <c r="B581" s="19" t="s">
        <v>280</v>
      </c>
      <c r="C581" s="19" t="s">
        <v>1259</v>
      </c>
    </row>
    <row r="582" spans="1:2" ht="25.5">
      <c r="A582" s="19" t="s">
        <v>1260</v>
      </c>
      <c r="B582" s="19" t="s">
        <v>1188</v>
      </c>
    </row>
    <row r="583" spans="1:2" ht="25.5">
      <c r="A583" s="19" t="s">
        <v>1261</v>
      </c>
      <c r="B583" s="19" t="s">
        <v>1188</v>
      </c>
    </row>
    <row r="584" spans="1:2" ht="25.5">
      <c r="A584" s="19" t="s">
        <v>1262</v>
      </c>
      <c r="B584" s="19" t="s">
        <v>1188</v>
      </c>
    </row>
    <row r="585" spans="1:2" ht="25.5">
      <c r="A585" s="19" t="s">
        <v>1263</v>
      </c>
      <c r="B585" s="19" t="s">
        <v>1188</v>
      </c>
    </row>
    <row r="586" spans="1:2" ht="51">
      <c r="A586" s="19" t="s">
        <v>1264</v>
      </c>
      <c r="B586" s="19" t="s">
        <v>1203</v>
      </c>
    </row>
    <row r="587" spans="1:2" ht="25.5">
      <c r="A587" s="19" t="s">
        <v>1265</v>
      </c>
      <c r="B587" s="19" t="s">
        <v>1188</v>
      </c>
    </row>
    <row r="588" spans="1:2" ht="25.5">
      <c r="A588" s="19" t="s">
        <v>1266</v>
      </c>
      <c r="B588" s="19" t="s">
        <v>1188</v>
      </c>
    </row>
    <row r="589" spans="1:2" ht="25.5">
      <c r="A589" s="19" t="s">
        <v>1267</v>
      </c>
      <c r="B589" s="19" t="s">
        <v>1188</v>
      </c>
    </row>
    <row r="590" spans="1:2" ht="25.5">
      <c r="A590" s="19" t="s">
        <v>1268</v>
      </c>
      <c r="B590" s="19" t="s">
        <v>1188</v>
      </c>
    </row>
    <row r="591" spans="1:2" ht="25.5">
      <c r="A591" s="19" t="s">
        <v>1269</v>
      </c>
      <c r="B591" s="19" t="s">
        <v>1188</v>
      </c>
    </row>
    <row r="592" spans="1:2" ht="25.5">
      <c r="A592" s="19" t="s">
        <v>1270</v>
      </c>
      <c r="B592" s="19" t="s">
        <v>1188</v>
      </c>
    </row>
    <row r="593" spans="1:2" ht="76.5">
      <c r="A593" s="19" t="s">
        <v>1271</v>
      </c>
      <c r="B593" s="19" t="s">
        <v>1272</v>
      </c>
    </row>
    <row r="594" spans="1:2" ht="25.5">
      <c r="A594" s="19" t="s">
        <v>1273</v>
      </c>
      <c r="B594" s="19" t="s">
        <v>1188</v>
      </c>
    </row>
    <row r="595" spans="1:2" ht="25.5">
      <c r="A595" s="19" t="s">
        <v>1274</v>
      </c>
      <c r="B595" s="19" t="s">
        <v>1188</v>
      </c>
    </row>
    <row r="596" spans="1:3" ht="25.5">
      <c r="A596" s="19" t="s">
        <v>1275</v>
      </c>
      <c r="B596" s="19" t="s">
        <v>1276</v>
      </c>
      <c r="C596" s="19" t="s">
        <v>1277</v>
      </c>
    </row>
    <row r="597" spans="1:2" ht="51">
      <c r="A597" s="19" t="s">
        <v>1278</v>
      </c>
      <c r="B597" s="19" t="s">
        <v>1280</v>
      </c>
    </row>
    <row r="598" spans="1:2" ht="25.5">
      <c r="A598" s="19" t="s">
        <v>1281</v>
      </c>
      <c r="B598" s="19" t="s">
        <v>1188</v>
      </c>
    </row>
    <row r="599" spans="1:2" ht="63.75">
      <c r="A599" s="19" t="s">
        <v>1282</v>
      </c>
      <c r="B599" s="19" t="s">
        <v>1283</v>
      </c>
    </row>
    <row r="600" spans="1:2" ht="51">
      <c r="A600" s="19" t="s">
        <v>1284</v>
      </c>
      <c r="B600" s="19" t="s">
        <v>1285</v>
      </c>
    </row>
    <row r="601" spans="1:2" ht="25.5">
      <c r="A601" s="19" t="s">
        <v>1286</v>
      </c>
      <c r="B601" s="19" t="s">
        <v>1188</v>
      </c>
    </row>
    <row r="602" spans="1:2" ht="25.5">
      <c r="A602" s="19" t="s">
        <v>1287</v>
      </c>
      <c r="B602" s="19" t="s">
        <v>1188</v>
      </c>
    </row>
    <row r="603" spans="1:2" ht="25.5">
      <c r="A603" s="19" t="s">
        <v>1288</v>
      </c>
      <c r="B603" s="19" t="s">
        <v>1188</v>
      </c>
    </row>
    <row r="604" spans="1:2" ht="25.5">
      <c r="A604" s="19" t="s">
        <v>1289</v>
      </c>
      <c r="B604" s="19" t="s">
        <v>1188</v>
      </c>
    </row>
    <row r="605" spans="1:3" ht="25.5">
      <c r="A605" s="19" t="s">
        <v>1290</v>
      </c>
      <c r="B605" s="19" t="s">
        <v>280</v>
      </c>
      <c r="C605" s="19" t="s">
        <v>1291</v>
      </c>
    </row>
    <row r="606" spans="1:2" ht="89.25">
      <c r="A606" s="19" t="s">
        <v>1292</v>
      </c>
      <c r="B606" s="19" t="s">
        <v>1293</v>
      </c>
    </row>
    <row r="607" spans="1:2" ht="25.5">
      <c r="A607" s="19" t="s">
        <v>1294</v>
      </c>
      <c r="B607" s="19" t="s">
        <v>1188</v>
      </c>
    </row>
    <row r="608" spans="1:2" ht="89.25">
      <c r="A608" s="19" t="s">
        <v>1295</v>
      </c>
      <c r="B608" s="19" t="s">
        <v>1296</v>
      </c>
    </row>
    <row r="609" spans="1:2" ht="51">
      <c r="A609" s="19" t="s">
        <v>1297</v>
      </c>
      <c r="B609" s="19" t="s">
        <v>1298</v>
      </c>
    </row>
    <row r="610" spans="1:2" ht="63.75">
      <c r="A610" s="19" t="s">
        <v>1299</v>
      </c>
      <c r="B610" s="19" t="s">
        <v>1300</v>
      </c>
    </row>
    <row r="611" spans="1:2" ht="51">
      <c r="A611" s="19" t="s">
        <v>1301</v>
      </c>
      <c r="B611" s="19" t="s">
        <v>1302</v>
      </c>
    </row>
    <row r="612" spans="1:2" ht="51">
      <c r="A612" s="19" t="s">
        <v>1303</v>
      </c>
      <c r="B612" s="19" t="s">
        <v>1304</v>
      </c>
    </row>
    <row r="613" spans="1:2" ht="51">
      <c r="A613" s="19" t="s">
        <v>1305</v>
      </c>
      <c r="B613" s="19" t="s">
        <v>1306</v>
      </c>
    </row>
    <row r="614" spans="1:2" ht="51">
      <c r="A614" s="19" t="s">
        <v>1307</v>
      </c>
      <c r="B614" s="19" t="s">
        <v>1306</v>
      </c>
    </row>
    <row r="615" spans="1:2" ht="63.75">
      <c r="A615" s="19" t="s">
        <v>1308</v>
      </c>
      <c r="B615" s="19" t="s">
        <v>1309</v>
      </c>
    </row>
    <row r="616" spans="1:2" ht="51">
      <c r="A616" s="19" t="s">
        <v>1310</v>
      </c>
      <c r="B616" s="19" t="s">
        <v>1280</v>
      </c>
    </row>
    <row r="617" spans="1:2" ht="25.5">
      <c r="A617" s="19" t="s">
        <v>1311</v>
      </c>
      <c r="B617" s="19" t="s">
        <v>1188</v>
      </c>
    </row>
    <row r="618" spans="1:2" ht="25.5">
      <c r="A618" s="19" t="s">
        <v>1312</v>
      </c>
      <c r="B618" s="19" t="s">
        <v>1188</v>
      </c>
    </row>
    <row r="619" spans="1:3" ht="51">
      <c r="A619" s="19" t="s">
        <v>1313</v>
      </c>
      <c r="C619" s="19" t="s">
        <v>1314</v>
      </c>
    </row>
    <row r="620" spans="1:3" ht="38.25">
      <c r="A620" s="19" t="s">
        <v>1315</v>
      </c>
      <c r="C620" s="19" t="s">
        <v>1316</v>
      </c>
    </row>
    <row r="621" spans="1:3" ht="38.25">
      <c r="A621" s="19" t="s">
        <v>1317</v>
      </c>
      <c r="C621" s="19" t="s">
        <v>1318</v>
      </c>
    </row>
    <row r="622" spans="1:3" ht="38.25">
      <c r="A622" s="19" t="s">
        <v>1319</v>
      </c>
      <c r="C622" s="19" t="s">
        <v>1320</v>
      </c>
    </row>
    <row r="623" spans="1:3" ht="38.25">
      <c r="A623" s="19" t="s">
        <v>1321</v>
      </c>
      <c r="C623" s="19" t="s">
        <v>1322</v>
      </c>
    </row>
    <row r="624" spans="1:3" ht="25.5">
      <c r="A624" s="19" t="s">
        <v>1323</v>
      </c>
      <c r="C624" s="19" t="s">
        <v>1324</v>
      </c>
    </row>
    <row r="625" spans="1:3" ht="25.5">
      <c r="A625" s="19" t="s">
        <v>1325</v>
      </c>
      <c r="C625" s="19" t="s">
        <v>1188</v>
      </c>
    </row>
    <row r="626" spans="1:3" ht="38.25">
      <c r="A626" s="19" t="s">
        <v>1326</v>
      </c>
      <c r="C626" s="19" t="s">
        <v>1327</v>
      </c>
    </row>
    <row r="627" spans="1:3" ht="38.25">
      <c r="A627" s="19" t="s">
        <v>1328</v>
      </c>
      <c r="C627" s="19" t="s">
        <v>1329</v>
      </c>
    </row>
    <row r="628" spans="1:3" ht="38.25">
      <c r="A628" s="19" t="s">
        <v>1330</v>
      </c>
      <c r="C628" s="19" t="s">
        <v>1333</v>
      </c>
    </row>
    <row r="629" spans="1:3" ht="38.25">
      <c r="A629" s="19" t="s">
        <v>1334</v>
      </c>
      <c r="C629" s="19" t="s">
        <v>1335</v>
      </c>
    </row>
    <row r="630" spans="1:3" ht="38.25">
      <c r="A630" s="19" t="s">
        <v>1336</v>
      </c>
      <c r="C630" s="19" t="s">
        <v>1337</v>
      </c>
    </row>
    <row r="631" spans="1:3" ht="25.5">
      <c r="A631" s="19" t="s">
        <v>1338</v>
      </c>
      <c r="C631" s="19" t="s">
        <v>1339</v>
      </c>
    </row>
    <row r="632" spans="1:3" ht="38.25">
      <c r="A632" s="19" t="s">
        <v>1340</v>
      </c>
      <c r="C632" s="19" t="s">
        <v>1341</v>
      </c>
    </row>
    <row r="633" spans="1:3" ht="38.25">
      <c r="A633" s="19" t="s">
        <v>1342</v>
      </c>
      <c r="C633" s="19" t="s">
        <v>1343</v>
      </c>
    </row>
    <row r="634" spans="1:3" ht="25.5">
      <c r="A634" s="19" t="s">
        <v>1344</v>
      </c>
      <c r="C634" s="19" t="s">
        <v>1345</v>
      </c>
    </row>
    <row r="635" spans="1:3" ht="38.25">
      <c r="A635" s="19" t="s">
        <v>1346</v>
      </c>
      <c r="C635" s="19" t="s">
        <v>1347</v>
      </c>
    </row>
    <row r="636" spans="1:3" ht="38.25">
      <c r="A636" s="19" t="s">
        <v>1348</v>
      </c>
      <c r="C636" s="19" t="s">
        <v>1341</v>
      </c>
    </row>
    <row r="637" spans="1:3" ht="38.25">
      <c r="A637" s="19" t="s">
        <v>1349</v>
      </c>
      <c r="C637" s="19" t="s">
        <v>1341</v>
      </c>
    </row>
    <row r="641" ht="25.5">
      <c r="A641" s="19" t="s">
        <v>1350</v>
      </c>
    </row>
    <row r="643" spans="1:4" ht="25.5">
      <c r="A643" s="19" t="s">
        <v>1351</v>
      </c>
      <c r="C643" s="19" t="s">
        <v>894</v>
      </c>
      <c r="D643" s="19" t="s">
        <v>1352</v>
      </c>
    </row>
    <row r="644" spans="1:4" ht="25.5">
      <c r="A644" s="19" t="s">
        <v>1353</v>
      </c>
      <c r="C644" s="19" t="s">
        <v>894</v>
      </c>
      <c r="D644" s="19" t="s">
        <v>1352</v>
      </c>
    </row>
    <row r="645" spans="1:4" ht="25.5">
      <c r="A645" s="19" t="s">
        <v>1354</v>
      </c>
      <c r="C645" s="19" t="s">
        <v>894</v>
      </c>
      <c r="D645" s="19" t="s">
        <v>1352</v>
      </c>
    </row>
    <row r="646" spans="1:4" ht="25.5">
      <c r="A646" s="19" t="s">
        <v>1355</v>
      </c>
      <c r="C646" s="19" t="s">
        <v>894</v>
      </c>
      <c r="D646" s="19" t="s">
        <v>1352</v>
      </c>
    </row>
    <row r="647" spans="1:4" ht="25.5">
      <c r="A647" s="19" t="s">
        <v>1356</v>
      </c>
      <c r="C647" s="19" t="s">
        <v>894</v>
      </c>
      <c r="D647" s="19" t="s">
        <v>1352</v>
      </c>
    </row>
    <row r="648" spans="1:4" ht="25.5">
      <c r="A648" s="19" t="s">
        <v>1357</v>
      </c>
      <c r="C648" s="19" t="s">
        <v>894</v>
      </c>
      <c r="D648" s="19" t="s">
        <v>1352</v>
      </c>
    </row>
    <row r="649" spans="1:4" ht="25.5">
      <c r="A649" s="19" t="s">
        <v>1358</v>
      </c>
      <c r="C649" s="19" t="s">
        <v>894</v>
      </c>
      <c r="D649" s="19" t="s">
        <v>1352</v>
      </c>
    </row>
    <row r="650" spans="1:4" ht="25.5">
      <c r="A650" s="19" t="s">
        <v>1359</v>
      </c>
      <c r="C650" s="19" t="s">
        <v>894</v>
      </c>
      <c r="D650" s="19" t="s">
        <v>1352</v>
      </c>
    </row>
    <row r="651" spans="1:4" ht="25.5">
      <c r="A651" s="19" t="s">
        <v>1360</v>
      </c>
      <c r="C651" s="19" t="s">
        <v>894</v>
      </c>
      <c r="D651" s="19" t="s">
        <v>1352</v>
      </c>
    </row>
    <row r="652" spans="1:4" ht="25.5">
      <c r="A652" s="19" t="s">
        <v>1361</v>
      </c>
      <c r="C652" s="19" t="s">
        <v>894</v>
      </c>
      <c r="D652" s="19" t="s">
        <v>1352</v>
      </c>
    </row>
    <row r="653" spans="1:4" ht="25.5">
      <c r="A653" s="19" t="s">
        <v>1362</v>
      </c>
      <c r="C653" s="19" t="s">
        <v>894</v>
      </c>
      <c r="D653" s="19" t="s">
        <v>1352</v>
      </c>
    </row>
    <row r="654" spans="1:4" ht="25.5">
      <c r="A654" s="19" t="s">
        <v>1363</v>
      </c>
      <c r="C654" s="19" t="s">
        <v>894</v>
      </c>
      <c r="D654" s="19" t="s">
        <v>1352</v>
      </c>
    </row>
    <row r="655" spans="1:4" ht="38.25">
      <c r="A655" s="19" t="s">
        <v>1364</v>
      </c>
      <c r="C655" s="19" t="s">
        <v>1365</v>
      </c>
      <c r="D655" s="19" t="s">
        <v>1366</v>
      </c>
    </row>
    <row r="656" spans="1:4" ht="38.25">
      <c r="A656" s="19" t="s">
        <v>1367</v>
      </c>
      <c r="C656" s="19" t="s">
        <v>1368</v>
      </c>
      <c r="D656" s="19" t="s">
        <v>1366</v>
      </c>
    </row>
    <row r="657" spans="1:4" ht="38.25">
      <c r="A657" s="19" t="s">
        <v>1369</v>
      </c>
      <c r="C657" s="19" t="s">
        <v>1370</v>
      </c>
      <c r="D657" s="19" t="s">
        <v>1366</v>
      </c>
    </row>
    <row r="659" spans="1:4" ht="38.25">
      <c r="A659" s="19" t="s">
        <v>1371</v>
      </c>
      <c r="C659" s="19" t="s">
        <v>1372</v>
      </c>
      <c r="D659" s="19" t="s">
        <v>1373</v>
      </c>
    </row>
    <row r="660" spans="1:4" ht="38.25">
      <c r="A660" s="19" t="s">
        <v>1374</v>
      </c>
      <c r="C660" s="19" t="s">
        <v>1372</v>
      </c>
      <c r="D660" s="19" t="s">
        <v>1375</v>
      </c>
    </row>
    <row r="661" spans="1:4" ht="38.25">
      <c r="A661" s="19" t="s">
        <v>1376</v>
      </c>
      <c r="C661" s="19" t="s">
        <v>1377</v>
      </c>
      <c r="D661" s="19" t="s">
        <v>1378</v>
      </c>
    </row>
    <row r="662" spans="1:4" ht="38.25">
      <c r="A662" s="19" t="s">
        <v>1379</v>
      </c>
      <c r="C662" s="19" t="s">
        <v>1372</v>
      </c>
      <c r="D662" s="19" t="s">
        <v>1378</v>
      </c>
    </row>
    <row r="663" spans="1:4" ht="38.25">
      <c r="A663" s="19" t="s">
        <v>1380</v>
      </c>
      <c r="C663" s="19" t="s">
        <v>1381</v>
      </c>
      <c r="D663" s="19" t="s">
        <v>1382</v>
      </c>
    </row>
    <row r="664" spans="1:4" ht="38.25">
      <c r="A664" s="19" t="s">
        <v>1383</v>
      </c>
      <c r="C664" s="19" t="s">
        <v>1372</v>
      </c>
      <c r="D664" s="19" t="s">
        <v>1384</v>
      </c>
    </row>
    <row r="665" spans="1:4" ht="38.25">
      <c r="A665" s="19" t="s">
        <v>1385</v>
      </c>
      <c r="C665" s="19" t="s">
        <v>1386</v>
      </c>
      <c r="D665" s="19" t="s">
        <v>1387</v>
      </c>
    </row>
    <row r="666" spans="1:4" ht="38.25">
      <c r="A666" s="19" t="s">
        <v>1388</v>
      </c>
      <c r="C666" s="19" t="s">
        <v>1389</v>
      </c>
      <c r="D666" s="19" t="s">
        <v>1390</v>
      </c>
    </row>
    <row r="667" spans="1:4" ht="38.25">
      <c r="A667" s="19" t="s">
        <v>1391</v>
      </c>
      <c r="C667" s="19" t="s">
        <v>1392</v>
      </c>
      <c r="D667" s="19" t="s">
        <v>1390</v>
      </c>
    </row>
    <row r="668" spans="1:4" ht="38.25">
      <c r="A668" s="19" t="s">
        <v>1393</v>
      </c>
      <c r="C668" s="19" t="s">
        <v>1394</v>
      </c>
      <c r="D668" s="19" t="s">
        <v>1384</v>
      </c>
    </row>
    <row r="669" spans="1:4" ht="38.25">
      <c r="A669" s="19" t="s">
        <v>1395</v>
      </c>
      <c r="C669" s="19" t="s">
        <v>1396</v>
      </c>
      <c r="D669" s="19" t="s">
        <v>1366</v>
      </c>
    </row>
    <row r="670" spans="1:4" ht="38.25">
      <c r="A670" s="19" t="s">
        <v>1397</v>
      </c>
      <c r="C670" s="19" t="s">
        <v>1372</v>
      </c>
      <c r="D670" s="19" t="s">
        <v>1382</v>
      </c>
    </row>
    <row r="671" spans="1:4" ht="38.25">
      <c r="A671" s="19" t="s">
        <v>1398</v>
      </c>
      <c r="C671" s="19" t="s">
        <v>1399</v>
      </c>
      <c r="D671" s="19" t="s">
        <v>1400</v>
      </c>
    </row>
    <row r="672" spans="1:4" ht="38.25">
      <c r="A672" s="19" t="s">
        <v>1401</v>
      </c>
      <c r="C672" s="19" t="s">
        <v>1386</v>
      </c>
      <c r="D672" s="19" t="s">
        <v>1387</v>
      </c>
    </row>
    <row r="673" spans="1:4" ht="38.25">
      <c r="A673" s="19" t="s">
        <v>1402</v>
      </c>
      <c r="C673" s="19" t="s">
        <v>1372</v>
      </c>
      <c r="D673" s="19" t="s">
        <v>1400</v>
      </c>
    </row>
    <row r="674" spans="1:4" ht="38.25">
      <c r="A674" s="19" t="s">
        <v>1403</v>
      </c>
      <c r="C674" s="19" t="s">
        <v>1404</v>
      </c>
      <c r="D674" s="19" t="s">
        <v>1387</v>
      </c>
    </row>
    <row r="675" spans="1:4" ht="38.25">
      <c r="A675" s="19" t="s">
        <v>1405</v>
      </c>
      <c r="C675" s="19" t="s">
        <v>1406</v>
      </c>
      <c r="D675" s="19" t="s">
        <v>1407</v>
      </c>
    </row>
    <row r="676" spans="1:4" ht="38.25">
      <c r="A676" s="19" t="s">
        <v>1408</v>
      </c>
      <c r="C676" s="19" t="s">
        <v>1399</v>
      </c>
      <c r="D676" s="19" t="s">
        <v>1382</v>
      </c>
    </row>
    <row r="677" spans="1:4" ht="38.25">
      <c r="A677" s="19" t="s">
        <v>1409</v>
      </c>
      <c r="C677" s="19" t="s">
        <v>894</v>
      </c>
      <c r="D677" s="19" t="s">
        <v>1410</v>
      </c>
    </row>
    <row r="678" spans="1:4" ht="38.25">
      <c r="A678" s="19" t="s">
        <v>1411</v>
      </c>
      <c r="C678" s="19" t="s">
        <v>1166</v>
      </c>
      <c r="D678" s="19" t="s">
        <v>1412</v>
      </c>
    </row>
    <row r="679" spans="1:4" ht="38.25">
      <c r="A679" s="19" t="s">
        <v>1413</v>
      </c>
      <c r="C679" s="19" t="s">
        <v>1126</v>
      </c>
      <c r="D679" s="19" t="s">
        <v>1414</v>
      </c>
    </row>
    <row r="680" spans="1:4" ht="38.25">
      <c r="A680" s="19" t="s">
        <v>1415</v>
      </c>
      <c r="C680" s="19" t="s">
        <v>894</v>
      </c>
      <c r="D680" s="19" t="s">
        <v>1410</v>
      </c>
    </row>
    <row r="681" spans="1:4" ht="38.25">
      <c r="A681" s="19" t="s">
        <v>1416</v>
      </c>
      <c r="C681" s="19" t="s">
        <v>894</v>
      </c>
      <c r="D681" s="19" t="s">
        <v>1410</v>
      </c>
    </row>
    <row r="682" spans="1:4" ht="38.25">
      <c r="A682" s="19" t="s">
        <v>1417</v>
      </c>
      <c r="C682" s="19" t="s">
        <v>894</v>
      </c>
      <c r="D682" s="19" t="s">
        <v>1410</v>
      </c>
    </row>
    <row r="683" spans="1:4" ht="38.25">
      <c r="A683" s="19" t="s">
        <v>1418</v>
      </c>
      <c r="C683" s="19" t="s">
        <v>894</v>
      </c>
      <c r="D683" s="19" t="s">
        <v>1410</v>
      </c>
    </row>
    <row r="684" spans="1:4" ht="38.25">
      <c r="A684" s="19" t="s">
        <v>1419</v>
      </c>
      <c r="C684" s="19" t="s">
        <v>894</v>
      </c>
      <c r="D684" s="19" t="s">
        <v>1410</v>
      </c>
    </row>
    <row r="685" spans="1:4" ht="38.25">
      <c r="A685" s="19" t="s">
        <v>1420</v>
      </c>
      <c r="C685" s="19" t="s">
        <v>894</v>
      </c>
      <c r="D685" s="19" t="s">
        <v>1410</v>
      </c>
    </row>
    <row r="686" spans="1:4" ht="38.25">
      <c r="A686" s="19" t="s">
        <v>1421</v>
      </c>
      <c r="C686" s="19" t="s">
        <v>894</v>
      </c>
      <c r="D686" s="19" t="s">
        <v>1410</v>
      </c>
    </row>
    <row r="687" spans="1:4" ht="38.25">
      <c r="A687" s="19" t="s">
        <v>1422</v>
      </c>
      <c r="C687" s="19" t="s">
        <v>894</v>
      </c>
      <c r="D687" s="19" t="s">
        <v>1410</v>
      </c>
    </row>
    <row r="688" spans="1:4" ht="38.25">
      <c r="A688" s="19" t="s">
        <v>1423</v>
      </c>
      <c r="C688" s="19" t="s">
        <v>894</v>
      </c>
      <c r="D688" s="19" t="s">
        <v>1410</v>
      </c>
    </row>
    <row r="689" spans="1:4" ht="38.25">
      <c r="A689" s="19" t="s">
        <v>1424</v>
      </c>
      <c r="C689" s="19" t="s">
        <v>894</v>
      </c>
      <c r="D689" s="19" t="s">
        <v>1410</v>
      </c>
    </row>
    <row r="690" spans="1:4" ht="38.25">
      <c r="A690" s="19" t="s">
        <v>1425</v>
      </c>
      <c r="C690" s="19" t="s">
        <v>894</v>
      </c>
      <c r="D690" s="19" t="s">
        <v>1410</v>
      </c>
    </row>
    <row r="691" spans="1:4" ht="38.25">
      <c r="A691" s="19" t="s">
        <v>1426</v>
      </c>
      <c r="C691" s="19" t="s">
        <v>894</v>
      </c>
      <c r="D691" s="19" t="s">
        <v>1410</v>
      </c>
    </row>
    <row r="692" spans="1:4" ht="38.25">
      <c r="A692" s="19" t="s">
        <v>1427</v>
      </c>
      <c r="C692" s="19" t="s">
        <v>894</v>
      </c>
      <c r="D692" s="19" t="s">
        <v>1410</v>
      </c>
    </row>
    <row r="693" spans="1:4" ht="38.25">
      <c r="A693" s="19" t="s">
        <v>1428</v>
      </c>
      <c r="C693" s="19" t="s">
        <v>894</v>
      </c>
      <c r="D693" s="19" t="s">
        <v>1410</v>
      </c>
    </row>
    <row r="694" spans="1:4" ht="38.25">
      <c r="A694" s="19" t="s">
        <v>1429</v>
      </c>
      <c r="C694" s="19" t="s">
        <v>894</v>
      </c>
      <c r="D694" s="19" t="s">
        <v>1410</v>
      </c>
    </row>
    <row r="695" spans="1:4" ht="38.25">
      <c r="A695" s="19" t="s">
        <v>1430</v>
      </c>
      <c r="C695" s="19" t="s">
        <v>894</v>
      </c>
      <c r="D695" s="19" t="s">
        <v>1410</v>
      </c>
    </row>
    <row r="696" spans="1:4" ht="38.25">
      <c r="A696" s="19" t="s">
        <v>1431</v>
      </c>
      <c r="C696" s="19" t="s">
        <v>894</v>
      </c>
      <c r="D696" s="19" t="s">
        <v>1410</v>
      </c>
    </row>
    <row r="697" spans="1:4" ht="38.25">
      <c r="A697" s="19" t="s">
        <v>1432</v>
      </c>
      <c r="C697" s="19" t="s">
        <v>894</v>
      </c>
      <c r="D697" s="19" t="s">
        <v>1410</v>
      </c>
    </row>
    <row r="698" spans="1:4" ht="38.25">
      <c r="A698" s="19" t="s">
        <v>1433</v>
      </c>
      <c r="C698" s="19" t="s">
        <v>894</v>
      </c>
      <c r="D698" s="19" t="s">
        <v>1410</v>
      </c>
    </row>
    <row r="699" spans="1:4" ht="38.25">
      <c r="A699" s="19" t="s">
        <v>1434</v>
      </c>
      <c r="C699" s="19" t="s">
        <v>894</v>
      </c>
      <c r="D699" s="19" t="s">
        <v>1410</v>
      </c>
    </row>
    <row r="700" spans="1:4" ht="38.25">
      <c r="A700" s="19" t="s">
        <v>1435</v>
      </c>
      <c r="C700" s="19" t="s">
        <v>894</v>
      </c>
      <c r="D700" s="19" t="s">
        <v>1410</v>
      </c>
    </row>
    <row r="701" spans="1:4" ht="38.25">
      <c r="A701" s="19" t="s">
        <v>1436</v>
      </c>
      <c r="C701" s="19" t="s">
        <v>894</v>
      </c>
      <c r="D701" s="19" t="s">
        <v>1410</v>
      </c>
    </row>
    <row r="702" spans="1:4" ht="38.25">
      <c r="A702" s="19" t="s">
        <v>1437</v>
      </c>
      <c r="C702" s="19" t="s">
        <v>894</v>
      </c>
      <c r="D702" s="19" t="s">
        <v>1410</v>
      </c>
    </row>
    <row r="703" spans="1:4" ht="38.25">
      <c r="A703" s="19" t="s">
        <v>1438</v>
      </c>
      <c r="C703" s="19" t="s">
        <v>894</v>
      </c>
      <c r="D703" s="19" t="s">
        <v>1410</v>
      </c>
    </row>
    <row r="704" spans="1:4" ht="38.25">
      <c r="A704" s="19" t="s">
        <v>1439</v>
      </c>
      <c r="C704" s="19" t="s">
        <v>894</v>
      </c>
      <c r="D704" s="19" t="s">
        <v>1410</v>
      </c>
    </row>
    <row r="705" spans="1:4" ht="38.25">
      <c r="A705" s="19" t="s">
        <v>1440</v>
      </c>
      <c r="C705" s="19" t="s">
        <v>894</v>
      </c>
      <c r="D705" s="19" t="s">
        <v>1410</v>
      </c>
    </row>
    <row r="706" spans="1:4" ht="38.25">
      <c r="A706" s="19" t="s">
        <v>1441</v>
      </c>
      <c r="C706" s="19" t="s">
        <v>894</v>
      </c>
      <c r="D706" s="19" t="s">
        <v>1410</v>
      </c>
    </row>
    <row r="707" spans="1:4" ht="38.25">
      <c r="A707" s="19" t="s">
        <v>1442</v>
      </c>
      <c r="C707" s="19" t="s">
        <v>894</v>
      </c>
      <c r="D707" s="19" t="s">
        <v>1410</v>
      </c>
    </row>
    <row r="708" spans="1:4" ht="38.25">
      <c r="A708" s="19" t="s">
        <v>1443</v>
      </c>
      <c r="C708" s="19" t="s">
        <v>894</v>
      </c>
      <c r="D708" s="19" t="s">
        <v>1410</v>
      </c>
    </row>
    <row r="709" spans="1:4" ht="38.25">
      <c r="A709" s="19" t="s">
        <v>1444</v>
      </c>
      <c r="C709" s="19" t="s">
        <v>1445</v>
      </c>
      <c r="D709" s="19" t="s">
        <v>1446</v>
      </c>
    </row>
    <row r="713" spans="1:6" ht="12.75">
      <c r="A713" s="19" t="s">
        <v>1447</v>
      </c>
      <c r="F713" s="19" t="s">
        <v>169</v>
      </c>
    </row>
    <row r="715" ht="12.75">
      <c r="A715" s="19" t="s">
        <v>1448</v>
      </c>
    </row>
    <row r="717" spans="1:3" ht="25.5">
      <c r="A717" s="19" t="s">
        <v>1449</v>
      </c>
      <c r="C717" s="19" t="s">
        <v>1450</v>
      </c>
    </row>
    <row r="718" spans="1:3" ht="25.5">
      <c r="A718" s="19" t="s">
        <v>1451</v>
      </c>
      <c r="C718" s="19" t="s">
        <v>1452</v>
      </c>
    </row>
    <row r="719" spans="1:3" ht="25.5">
      <c r="A719" s="19" t="s">
        <v>1462</v>
      </c>
      <c r="C719" s="19" t="s">
        <v>1463</v>
      </c>
    </row>
    <row r="720" spans="1:3" ht="25.5">
      <c r="A720" s="19" t="s">
        <v>1464</v>
      </c>
      <c r="C720" s="19" t="s">
        <v>1465</v>
      </c>
    </row>
    <row r="721" ht="25.5">
      <c r="A721" s="19" t="s">
        <v>1466</v>
      </c>
    </row>
    <row r="722" spans="1:3" ht="25.5">
      <c r="A722" s="19" t="s">
        <v>1467</v>
      </c>
      <c r="C722" s="19" t="s">
        <v>1465</v>
      </c>
    </row>
    <row r="723" ht="25.5">
      <c r="A723" s="19" t="s">
        <v>1466</v>
      </c>
    </row>
    <row r="724" spans="1:3" ht="25.5">
      <c r="A724" s="19" t="s">
        <v>1468</v>
      </c>
      <c r="C724" s="19" t="s">
        <v>1469</v>
      </c>
    </row>
    <row r="725" spans="1:3" ht="38.25">
      <c r="A725" s="19" t="s">
        <v>1470</v>
      </c>
      <c r="C725" s="19" t="s">
        <v>1471</v>
      </c>
    </row>
    <row r="726" spans="1:3" ht="38.25">
      <c r="A726" s="19" t="s">
        <v>1472</v>
      </c>
      <c r="C726" s="19" t="s">
        <v>1473</v>
      </c>
    </row>
    <row r="728" ht="12.75">
      <c r="A728" s="19" t="s">
        <v>1474</v>
      </c>
    </row>
    <row r="730" spans="1:3" ht="25.5">
      <c r="A730" s="19" t="s">
        <v>1475</v>
      </c>
      <c r="C730" s="19" t="s">
        <v>1476</v>
      </c>
    </row>
    <row r="731" spans="1:3" ht="38.25">
      <c r="A731" s="19" t="s">
        <v>1477</v>
      </c>
      <c r="C731" s="19" t="s">
        <v>1478</v>
      </c>
    </row>
    <row r="732" ht="12.75">
      <c r="A732" s="19" t="s">
        <v>1479</v>
      </c>
    </row>
    <row r="734" ht="12.75">
      <c r="A734" s="19" t="s">
        <v>1480</v>
      </c>
    </row>
    <row r="736" spans="1:4" ht="51">
      <c r="A736" s="19" t="s">
        <v>1481</v>
      </c>
      <c r="B736" s="19" t="s">
        <v>1482</v>
      </c>
      <c r="D736" s="19" t="s">
        <v>1483</v>
      </c>
    </row>
    <row r="737" spans="1:4" ht="51">
      <c r="A737" s="19" t="s">
        <v>1484</v>
      </c>
      <c r="B737" s="19" t="s">
        <v>1482</v>
      </c>
      <c r="D737" s="19" t="s">
        <v>1485</v>
      </c>
    </row>
    <row r="738" spans="1:4" ht="51">
      <c r="A738" s="19" t="s">
        <v>1486</v>
      </c>
      <c r="B738" s="19" t="s">
        <v>1482</v>
      </c>
      <c r="D738" s="19" t="s">
        <v>1487</v>
      </c>
    </row>
    <row r="739" spans="1:4" ht="51">
      <c r="A739" s="19" t="s">
        <v>1486</v>
      </c>
      <c r="B739" s="19" t="s">
        <v>1482</v>
      </c>
      <c r="D739" s="19" t="s">
        <v>1488</v>
      </c>
    </row>
    <row r="740" spans="1:4" ht="51">
      <c r="A740" s="19" t="s">
        <v>1486</v>
      </c>
      <c r="B740" s="19" t="s">
        <v>1482</v>
      </c>
      <c r="D740" s="19" t="s">
        <v>1489</v>
      </c>
    </row>
    <row r="741" spans="1:4" ht="51">
      <c r="A741" s="19" t="s">
        <v>1490</v>
      </c>
      <c r="B741" s="19" t="s">
        <v>1491</v>
      </c>
      <c r="D741" s="19" t="s">
        <v>0</v>
      </c>
    </row>
    <row r="742" spans="1:4" ht="51">
      <c r="A742" s="19" t="s">
        <v>1</v>
      </c>
      <c r="B742" s="19" t="s">
        <v>2</v>
      </c>
      <c r="D742" s="19" t="s">
        <v>3</v>
      </c>
    </row>
    <row r="743" spans="1:4" ht="51">
      <c r="A743" s="19" t="s">
        <v>4</v>
      </c>
      <c r="B743" s="19" t="s">
        <v>5</v>
      </c>
      <c r="D743" s="19" t="s">
        <v>6</v>
      </c>
    </row>
    <row r="744" spans="1:4" ht="51">
      <c r="A744" s="19" t="s">
        <v>7</v>
      </c>
      <c r="B744" s="19" t="s">
        <v>8</v>
      </c>
      <c r="D744" s="19" t="s">
        <v>9</v>
      </c>
    </row>
    <row r="745" spans="1:4" ht="51">
      <c r="A745" s="19" t="s">
        <v>10</v>
      </c>
      <c r="B745" s="19" t="s">
        <v>5</v>
      </c>
      <c r="D745" s="19" t="s">
        <v>9</v>
      </c>
    </row>
    <row r="746" spans="1:4" ht="51">
      <c r="A746" s="19" t="s">
        <v>1486</v>
      </c>
      <c r="B746" s="19" t="s">
        <v>11</v>
      </c>
      <c r="D746" s="19" t="s">
        <v>12</v>
      </c>
    </row>
    <row r="748" ht="12.75">
      <c r="A748" s="19" t="s">
        <v>13</v>
      </c>
    </row>
    <row r="750" spans="1:4" ht="51">
      <c r="A750" s="19" t="s">
        <v>1486</v>
      </c>
      <c r="B750" s="19" t="s">
        <v>14</v>
      </c>
      <c r="D750" s="19" t="s">
        <v>15</v>
      </c>
    </row>
    <row r="751" spans="1:4" ht="51">
      <c r="A751" s="19" t="s">
        <v>16</v>
      </c>
      <c r="B751" s="19" t="s">
        <v>14</v>
      </c>
      <c r="D751" s="19" t="s">
        <v>17</v>
      </c>
    </row>
    <row r="752" spans="1:4" ht="51">
      <c r="A752" s="19" t="s">
        <v>1486</v>
      </c>
      <c r="B752" s="19" t="s">
        <v>14</v>
      </c>
      <c r="D752" s="19" t="s">
        <v>18</v>
      </c>
    </row>
    <row r="753" spans="1:4" ht="51">
      <c r="A753" s="19" t="s">
        <v>1486</v>
      </c>
      <c r="B753" s="19" t="s">
        <v>19</v>
      </c>
      <c r="D753" s="19" t="s">
        <v>20</v>
      </c>
    </row>
    <row r="754" spans="1:4" ht="51">
      <c r="A754" s="19" t="s">
        <v>21</v>
      </c>
      <c r="B754" s="19" t="s">
        <v>19</v>
      </c>
      <c r="D754" s="19" t="s">
        <v>22</v>
      </c>
    </row>
    <row r="755" spans="1:4" ht="51">
      <c r="A755" s="19" t="s">
        <v>23</v>
      </c>
      <c r="B755" s="19" t="s">
        <v>1482</v>
      </c>
      <c r="D755" s="19" t="s">
        <v>24</v>
      </c>
    </row>
    <row r="756" spans="1:4" ht="51">
      <c r="A756" s="19" t="s">
        <v>25</v>
      </c>
      <c r="B756" s="19" t="s">
        <v>1482</v>
      </c>
      <c r="D756" s="19" t="s">
        <v>26</v>
      </c>
    </row>
    <row r="757" spans="1:4" ht="51">
      <c r="A757" s="19" t="s">
        <v>27</v>
      </c>
      <c r="B757" s="19" t="s">
        <v>1482</v>
      </c>
      <c r="D757" s="19" t="s">
        <v>28</v>
      </c>
    </row>
    <row r="758" spans="1:4" ht="51">
      <c r="A758" s="19" t="s">
        <v>29</v>
      </c>
      <c r="B758" s="19" t="s">
        <v>1482</v>
      </c>
      <c r="D758" s="19" t="s">
        <v>30</v>
      </c>
    </row>
    <row r="759" spans="1:4" ht="51">
      <c r="A759" s="19" t="s">
        <v>31</v>
      </c>
      <c r="B759" s="19" t="s">
        <v>32</v>
      </c>
      <c r="D759" s="19" t="s">
        <v>33</v>
      </c>
    </row>
    <row r="760" spans="1:4" ht="51">
      <c r="A760" s="19" t="s">
        <v>34</v>
      </c>
      <c r="B760" s="19" t="s">
        <v>32</v>
      </c>
      <c r="D760" s="19" t="s">
        <v>35</v>
      </c>
    </row>
    <row r="761" spans="1:4" ht="51">
      <c r="A761" s="19" t="s">
        <v>1486</v>
      </c>
      <c r="B761" s="19" t="s">
        <v>32</v>
      </c>
      <c r="D761" s="19" t="s">
        <v>36</v>
      </c>
    </row>
    <row r="762" spans="1:4" ht="51">
      <c r="A762" s="19" t="s">
        <v>1486</v>
      </c>
      <c r="B762" s="19" t="s">
        <v>37</v>
      </c>
      <c r="D762" s="19" t="s">
        <v>38</v>
      </c>
    </row>
    <row r="763" spans="1:4" ht="51">
      <c r="A763" s="19" t="s">
        <v>1486</v>
      </c>
      <c r="B763" s="19" t="s">
        <v>39</v>
      </c>
      <c r="D763" s="19" t="s">
        <v>40</v>
      </c>
    </row>
    <row r="764" spans="1:4" ht="51">
      <c r="A764" s="19" t="s">
        <v>1486</v>
      </c>
      <c r="B764" s="19" t="s">
        <v>39</v>
      </c>
      <c r="D764" s="19" t="s">
        <v>41</v>
      </c>
    </row>
    <row r="765" spans="1:4" ht="51">
      <c r="A765" s="19" t="s">
        <v>1486</v>
      </c>
      <c r="B765" s="19" t="s">
        <v>42</v>
      </c>
      <c r="D765" s="19" t="s">
        <v>43</v>
      </c>
    </row>
    <row r="766" spans="1:4" ht="51">
      <c r="A766" s="19" t="s">
        <v>44</v>
      </c>
      <c r="B766" s="19" t="s">
        <v>45</v>
      </c>
      <c r="D766" s="19" t="s">
        <v>46</v>
      </c>
    </row>
    <row r="767" spans="1:4" ht="51">
      <c r="A767" s="19" t="s">
        <v>1486</v>
      </c>
      <c r="B767" s="19" t="s">
        <v>1491</v>
      </c>
      <c r="D767" s="19" t="s">
        <v>47</v>
      </c>
    </row>
    <row r="768" spans="1:4" ht="51">
      <c r="A768" s="19" t="s">
        <v>1486</v>
      </c>
      <c r="B768" s="19" t="s">
        <v>48</v>
      </c>
      <c r="D768" s="19" t="s">
        <v>49</v>
      </c>
    </row>
    <row r="769" spans="1:4" ht="51">
      <c r="A769" s="19" t="s">
        <v>50</v>
      </c>
      <c r="B769" s="19" t="s">
        <v>48</v>
      </c>
      <c r="D769" s="19" t="s">
        <v>51</v>
      </c>
    </row>
    <row r="770" ht="12.75">
      <c r="A770" s="19" t="s">
        <v>52</v>
      </c>
    </row>
    <row r="772" spans="1:4" ht="51">
      <c r="A772" s="19" t="s">
        <v>53</v>
      </c>
      <c r="B772" s="19" t="s">
        <v>54</v>
      </c>
      <c r="D772" s="19" t="s">
        <v>55</v>
      </c>
    </row>
    <row r="773" spans="1:4" ht="51">
      <c r="A773" s="19" t="s">
        <v>1486</v>
      </c>
      <c r="B773" s="19" t="s">
        <v>56</v>
      </c>
      <c r="D773" s="19" t="s">
        <v>57</v>
      </c>
    </row>
    <row r="776" ht="12.75">
      <c r="A776" s="19" t="s">
        <v>58</v>
      </c>
    </row>
    <row r="777" ht="25.5">
      <c r="A777" s="19" t="s">
        <v>59</v>
      </c>
    </row>
    <row r="779" ht="12.75">
      <c r="A779" s="19" t="s">
        <v>65</v>
      </c>
    </row>
    <row r="780" ht="12.75">
      <c r="A780" s="19" t="s">
        <v>66</v>
      </c>
    </row>
    <row r="782" ht="51">
      <c r="A782" s="19" t="s">
        <v>67</v>
      </c>
    </row>
    <row r="783" ht="25.5">
      <c r="A783" s="19" t="s">
        <v>68</v>
      </c>
    </row>
    <row r="784" ht="12.75">
      <c r="A784" s="19" t="s">
        <v>69</v>
      </c>
    </row>
    <row r="785" spans="1:2" ht="38.25">
      <c r="A785" s="19" t="s">
        <v>70</v>
      </c>
      <c r="B785" s="19" t="s">
        <v>71</v>
      </c>
    </row>
    <row r="786" spans="1:2" ht="63.75">
      <c r="A786" s="19" t="s">
        <v>70</v>
      </c>
      <c r="B786" s="19" t="s">
        <v>72</v>
      </c>
    </row>
    <row r="787" spans="1:3" ht="25.5">
      <c r="A787" s="19" t="s">
        <v>73</v>
      </c>
      <c r="C787" s="19" t="s">
        <v>74</v>
      </c>
    </row>
    <row r="788" spans="1:3" ht="38.25">
      <c r="A788" s="19" t="s">
        <v>73</v>
      </c>
      <c r="C788" s="19" t="s">
        <v>75</v>
      </c>
    </row>
    <row r="790" ht="38.25">
      <c r="A790" s="19" t="s">
        <v>76</v>
      </c>
    </row>
    <row r="791" ht="12.75">
      <c r="A791" s="19" t="s">
        <v>280</v>
      </c>
    </row>
    <row r="792" ht="76.5">
      <c r="A792" s="19" t="s">
        <v>77</v>
      </c>
    </row>
    <row r="793" ht="12.75">
      <c r="A793" s="19" t="s">
        <v>78</v>
      </c>
    </row>
    <row r="795" ht="51">
      <c r="A795" s="19" t="s">
        <v>91</v>
      </c>
    </row>
    <row r="796" ht="12.75">
      <c r="A796" s="19" t="s">
        <v>92</v>
      </c>
    </row>
    <row r="797" ht="25.5">
      <c r="A797" s="19" t="s">
        <v>93</v>
      </c>
    </row>
    <row r="798" ht="12.75">
      <c r="A798" s="19" t="s">
        <v>94</v>
      </c>
    </row>
    <row r="799" ht="12.75">
      <c r="A799" s="19" t="s">
        <v>95</v>
      </c>
    </row>
    <row r="800" ht="25.5">
      <c r="A800" s="19" t="s">
        <v>96</v>
      </c>
    </row>
    <row r="802" ht="25.5">
      <c r="A802" s="19" t="s">
        <v>97</v>
      </c>
    </row>
    <row r="804" ht="25.5">
      <c r="A804" s="19" t="s">
        <v>98</v>
      </c>
    </row>
    <row r="806" ht="38.25">
      <c r="A806" s="19" t="s">
        <v>99</v>
      </c>
    </row>
    <row r="807" ht="25.5">
      <c r="A807" s="19" t="s">
        <v>100</v>
      </c>
    </row>
    <row r="808" spans="1:2" ht="38.25">
      <c r="A808" s="19" t="s">
        <v>101</v>
      </c>
      <c r="B808" s="19" t="s">
        <v>102</v>
      </c>
    </row>
    <row r="809" spans="1:2" ht="38.25">
      <c r="A809" s="19" t="s">
        <v>103</v>
      </c>
      <c r="B809" s="19" t="s">
        <v>104</v>
      </c>
    </row>
    <row r="810" ht="38.25">
      <c r="A810" s="19" t="s">
        <v>105</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3:R71"/>
  <sheetViews>
    <sheetView workbookViewId="0" topLeftCell="A1">
      <selection activeCell="E74" sqref="E74"/>
    </sheetView>
  </sheetViews>
  <sheetFormatPr defaultColWidth="9.140625" defaultRowHeight="12.75"/>
  <sheetData>
    <row r="3" spans="1:18" ht="20.25" customHeight="1">
      <c r="A3" s="130" t="s">
        <v>1455</v>
      </c>
      <c r="B3" s="130"/>
      <c r="C3" s="130"/>
      <c r="D3" s="130"/>
      <c r="E3" s="130"/>
      <c r="F3" s="130"/>
      <c r="G3" s="130"/>
      <c r="H3" s="130"/>
      <c r="I3" s="130"/>
      <c r="J3" s="130"/>
      <c r="K3" s="130"/>
      <c r="L3" s="77"/>
      <c r="M3" s="77"/>
      <c r="N3" s="77"/>
      <c r="O3" s="77"/>
      <c r="P3" s="77"/>
      <c r="Q3" s="77"/>
      <c r="R3" s="77"/>
    </row>
    <row r="4" spans="1:11" ht="38.25" customHeight="1">
      <c r="A4" s="42" t="s">
        <v>1208</v>
      </c>
      <c r="B4" s="132" t="s">
        <v>1211</v>
      </c>
      <c r="C4" s="133"/>
      <c r="D4" s="134"/>
      <c r="E4" s="132" t="s">
        <v>1212</v>
      </c>
      <c r="F4" s="133"/>
      <c r="G4" s="134"/>
      <c r="H4" s="132" t="s">
        <v>1213</v>
      </c>
      <c r="I4" s="133"/>
      <c r="J4" s="133"/>
      <c r="K4" s="26"/>
    </row>
    <row r="5" spans="1:11" ht="12.75">
      <c r="A5" s="43"/>
      <c r="B5" s="45" t="s">
        <v>1214</v>
      </c>
      <c r="C5" s="39" t="s">
        <v>1209</v>
      </c>
      <c r="D5" s="39" t="s">
        <v>1210</v>
      </c>
      <c r="E5" s="45" t="s">
        <v>1214</v>
      </c>
      <c r="F5" s="39" t="s">
        <v>1209</v>
      </c>
      <c r="G5" s="39" t="s">
        <v>1210</v>
      </c>
      <c r="H5" s="45" t="s">
        <v>1214</v>
      </c>
      <c r="I5" s="39" t="s">
        <v>1209</v>
      </c>
      <c r="J5" s="40" t="s">
        <v>1210</v>
      </c>
      <c r="K5" s="26"/>
    </row>
    <row r="6" spans="1:14" ht="12.75">
      <c r="A6" s="43">
        <v>0</v>
      </c>
      <c r="B6" s="46">
        <f>C6*3.7854</f>
        <v>211.9824</v>
      </c>
      <c r="C6" s="38">
        <v>56</v>
      </c>
      <c r="D6" s="38">
        <v>2.6</v>
      </c>
      <c r="E6" s="46">
        <f aca="true" t="shared" si="0" ref="E6:E17">F6*3.7854</f>
        <v>283.90500000000003</v>
      </c>
      <c r="F6" s="38">
        <v>75</v>
      </c>
      <c r="G6" s="38">
        <v>4.7</v>
      </c>
      <c r="H6" s="46">
        <f aca="true" t="shared" si="1" ref="H6:H17">I6*3.7854</f>
        <v>287.6904</v>
      </c>
      <c r="I6" s="38">
        <v>76</v>
      </c>
      <c r="J6" s="41">
        <v>4.4</v>
      </c>
      <c r="K6" s="26"/>
      <c r="L6" s="1"/>
      <c r="M6" s="1"/>
      <c r="N6" s="1"/>
    </row>
    <row r="7" spans="1:14" ht="12.75">
      <c r="A7" s="43">
        <v>10</v>
      </c>
      <c r="B7" s="46">
        <f aca="true" t="shared" si="2" ref="B7:B17">C7*3.7854</f>
        <v>196.8408</v>
      </c>
      <c r="C7" s="38">
        <v>52</v>
      </c>
      <c r="D7" s="38">
        <v>3.2</v>
      </c>
      <c r="E7" s="46">
        <f t="shared" si="0"/>
        <v>272.5488</v>
      </c>
      <c r="F7" s="38">
        <v>72</v>
      </c>
      <c r="G7" s="38">
        <v>5.2</v>
      </c>
      <c r="H7" s="46">
        <f t="shared" si="1"/>
        <v>276.3342</v>
      </c>
      <c r="I7" s="38">
        <v>73</v>
      </c>
      <c r="J7" s="41">
        <v>4.8</v>
      </c>
      <c r="K7" s="26"/>
      <c r="L7" s="1"/>
      <c r="M7" s="1"/>
      <c r="N7" s="1"/>
    </row>
    <row r="8" spans="1:14" ht="12.75">
      <c r="A8" s="43">
        <v>20</v>
      </c>
      <c r="B8" s="46">
        <f t="shared" si="2"/>
        <v>181.69920000000002</v>
      </c>
      <c r="C8" s="38">
        <v>48</v>
      </c>
      <c r="D8" s="38">
        <v>4</v>
      </c>
      <c r="E8" s="46">
        <f t="shared" si="0"/>
        <v>253.6218</v>
      </c>
      <c r="F8" s="38">
        <v>67</v>
      </c>
      <c r="G8" s="38">
        <v>6.1</v>
      </c>
      <c r="H8" s="46">
        <f t="shared" si="1"/>
        <v>257.4072</v>
      </c>
      <c r="I8" s="38">
        <v>68</v>
      </c>
      <c r="J8" s="41">
        <v>5.5</v>
      </c>
      <c r="K8" s="26"/>
      <c r="L8" s="1"/>
      <c r="M8" s="1"/>
      <c r="N8" s="1"/>
    </row>
    <row r="9" spans="1:14" ht="12.75">
      <c r="A9" s="43">
        <v>30</v>
      </c>
      <c r="B9" s="46">
        <f t="shared" si="2"/>
        <v>166.5576</v>
      </c>
      <c r="C9" s="38">
        <v>44</v>
      </c>
      <c r="D9" s="38">
        <v>4.8</v>
      </c>
      <c r="E9" s="46">
        <f t="shared" si="0"/>
        <v>238.4802</v>
      </c>
      <c r="F9" s="38">
        <v>63</v>
      </c>
      <c r="G9" s="38">
        <v>7.2</v>
      </c>
      <c r="H9" s="46">
        <f t="shared" si="1"/>
        <v>238.4802</v>
      </c>
      <c r="I9" s="38">
        <v>63</v>
      </c>
      <c r="J9" s="41">
        <v>6.3</v>
      </c>
      <c r="K9" s="26"/>
      <c r="L9" s="1"/>
      <c r="M9" s="1"/>
      <c r="N9" s="1"/>
    </row>
    <row r="10" spans="1:14" ht="12.75">
      <c r="A10" s="43">
        <v>40</v>
      </c>
      <c r="B10" s="46">
        <f t="shared" si="2"/>
        <v>151.416</v>
      </c>
      <c r="C10" s="38">
        <v>40</v>
      </c>
      <c r="D10" s="38">
        <v>5.7</v>
      </c>
      <c r="E10" s="46">
        <f t="shared" si="0"/>
        <v>219.5532</v>
      </c>
      <c r="F10" s="38">
        <v>58</v>
      </c>
      <c r="G10" s="38">
        <v>8.3</v>
      </c>
      <c r="H10" s="46">
        <f t="shared" si="1"/>
        <v>223.3386</v>
      </c>
      <c r="I10" s="38">
        <v>59</v>
      </c>
      <c r="J10" s="41">
        <v>7.1</v>
      </c>
      <c r="K10" s="26"/>
      <c r="L10" s="1"/>
      <c r="M10" s="1"/>
      <c r="N10" s="1"/>
    </row>
    <row r="11" spans="1:14" ht="12.75">
      <c r="A11" s="43">
        <v>50</v>
      </c>
      <c r="B11" s="46">
        <f t="shared" si="2"/>
        <v>136.2744</v>
      </c>
      <c r="C11" s="38">
        <v>36</v>
      </c>
      <c r="D11" s="38">
        <v>6.6</v>
      </c>
      <c r="E11" s="46">
        <f t="shared" si="0"/>
        <v>204.4116</v>
      </c>
      <c r="F11" s="38">
        <v>54</v>
      </c>
      <c r="G11" s="38">
        <v>9.4</v>
      </c>
      <c r="H11" s="46">
        <f t="shared" si="1"/>
        <v>204.4116</v>
      </c>
      <c r="I11" s="38">
        <v>54</v>
      </c>
      <c r="J11" s="41">
        <v>8</v>
      </c>
      <c r="K11" s="26"/>
      <c r="L11" s="1"/>
      <c r="M11" s="1"/>
      <c r="N11" s="1"/>
    </row>
    <row r="12" spans="1:14" ht="12.75">
      <c r="A12" s="43">
        <v>60</v>
      </c>
      <c r="B12" s="46">
        <f t="shared" si="2"/>
        <v>121.1328</v>
      </c>
      <c r="C12" s="38">
        <v>32</v>
      </c>
      <c r="D12" s="38">
        <v>7.6</v>
      </c>
      <c r="E12" s="46">
        <f t="shared" si="0"/>
        <v>185.4846</v>
      </c>
      <c r="F12" s="38">
        <v>49</v>
      </c>
      <c r="G12" s="38">
        <v>10.6</v>
      </c>
      <c r="H12" s="46">
        <f t="shared" si="1"/>
        <v>189.27</v>
      </c>
      <c r="I12" s="38">
        <v>50</v>
      </c>
      <c r="J12" s="41">
        <v>8.9</v>
      </c>
      <c r="K12" s="26"/>
      <c r="L12" s="1"/>
      <c r="M12" s="1"/>
      <c r="N12" s="1"/>
    </row>
    <row r="13" spans="1:14" ht="12.75">
      <c r="A13" s="43">
        <v>70</v>
      </c>
      <c r="B13" s="46">
        <f t="shared" si="2"/>
        <v>105.9912</v>
      </c>
      <c r="C13" s="38">
        <v>28</v>
      </c>
      <c r="D13" s="38">
        <v>8.6</v>
      </c>
      <c r="E13" s="46">
        <f t="shared" si="0"/>
        <v>151.416</v>
      </c>
      <c r="F13" s="38">
        <v>40</v>
      </c>
      <c r="G13" s="38">
        <v>11.8</v>
      </c>
      <c r="H13" s="46">
        <f t="shared" si="1"/>
        <v>170.34300000000002</v>
      </c>
      <c r="I13" s="38">
        <v>45</v>
      </c>
      <c r="J13" s="41">
        <v>9.8</v>
      </c>
      <c r="K13" s="26"/>
      <c r="L13" s="1"/>
      <c r="M13" s="1"/>
      <c r="N13" s="1"/>
    </row>
    <row r="14" spans="1:14" ht="12.75">
      <c r="A14" s="43">
        <v>80</v>
      </c>
      <c r="B14" s="46">
        <f t="shared" si="2"/>
        <v>83.2788</v>
      </c>
      <c r="C14" s="38">
        <v>22</v>
      </c>
      <c r="D14" s="38">
        <v>9.7</v>
      </c>
      <c r="E14" s="46">
        <f t="shared" si="0"/>
        <v>109.7766</v>
      </c>
      <c r="F14" s="38">
        <v>29</v>
      </c>
      <c r="G14" s="38">
        <v>13.3</v>
      </c>
      <c r="H14" s="46">
        <f t="shared" si="1"/>
        <v>140.0598</v>
      </c>
      <c r="I14" s="38">
        <v>37</v>
      </c>
      <c r="J14" s="41">
        <v>10.8</v>
      </c>
      <c r="K14" s="26"/>
      <c r="L14" s="1"/>
      <c r="M14" s="1"/>
      <c r="N14" s="1"/>
    </row>
    <row r="15" spans="1:14" ht="12.75">
      <c r="A15" s="43">
        <v>90</v>
      </c>
      <c r="B15" s="46">
        <f t="shared" si="2"/>
        <v>45.424800000000005</v>
      </c>
      <c r="C15" s="38">
        <v>12</v>
      </c>
      <c r="D15" s="38">
        <v>10.8</v>
      </c>
      <c r="E15" s="46">
        <f t="shared" si="0"/>
        <v>0</v>
      </c>
      <c r="F15" s="38">
        <v>0</v>
      </c>
      <c r="G15" s="38">
        <v>14.6</v>
      </c>
      <c r="H15" s="46">
        <f t="shared" si="1"/>
        <v>102.2058</v>
      </c>
      <c r="I15" s="38">
        <v>27</v>
      </c>
      <c r="J15" s="41">
        <v>11.8</v>
      </c>
      <c r="K15" s="26"/>
      <c r="L15" s="1"/>
      <c r="M15" s="1"/>
      <c r="N15" s="1"/>
    </row>
    <row r="16" spans="1:14" ht="12.75">
      <c r="A16" s="43">
        <v>100</v>
      </c>
      <c r="B16" s="46">
        <f t="shared" si="2"/>
        <v>0</v>
      </c>
      <c r="C16" s="38">
        <v>0</v>
      </c>
      <c r="D16" s="38">
        <v>12.5</v>
      </c>
      <c r="E16" s="46">
        <f t="shared" si="0"/>
        <v>0</v>
      </c>
      <c r="F16" s="38"/>
      <c r="G16" s="38"/>
      <c r="H16" s="46">
        <f t="shared" si="1"/>
        <v>41.6394</v>
      </c>
      <c r="I16" s="38">
        <v>11</v>
      </c>
      <c r="J16" s="38">
        <v>12.9</v>
      </c>
      <c r="K16" s="44"/>
      <c r="L16" s="1"/>
      <c r="M16" s="1"/>
      <c r="N16" s="1"/>
    </row>
    <row r="17" spans="1:11" ht="12.75">
      <c r="A17" s="43">
        <v>110</v>
      </c>
      <c r="B17" s="46">
        <f t="shared" si="2"/>
        <v>0</v>
      </c>
      <c r="C17" s="38"/>
      <c r="D17" s="38"/>
      <c r="E17" s="46">
        <f t="shared" si="0"/>
        <v>0</v>
      </c>
      <c r="F17" s="38"/>
      <c r="G17" s="38"/>
      <c r="H17" s="46">
        <f t="shared" si="1"/>
        <v>3.7854</v>
      </c>
      <c r="I17" s="38">
        <v>1</v>
      </c>
      <c r="J17" s="41">
        <v>13.9</v>
      </c>
      <c r="K17" s="22"/>
    </row>
    <row r="18" spans="1:18" ht="20.25" customHeight="1">
      <c r="A18" s="128" t="s">
        <v>1453</v>
      </c>
      <c r="B18" s="128"/>
      <c r="C18" s="128"/>
      <c r="D18" s="128"/>
      <c r="E18" s="128"/>
      <c r="F18" s="128"/>
      <c r="G18" s="128"/>
      <c r="H18" s="128"/>
      <c r="I18" s="128"/>
      <c r="J18" s="128"/>
      <c r="K18" s="128"/>
      <c r="L18" s="77"/>
      <c r="M18" s="77"/>
      <c r="N18" s="77"/>
      <c r="O18" s="77"/>
      <c r="P18" s="77"/>
      <c r="Q18" s="77"/>
      <c r="R18" s="77"/>
    </row>
    <row r="19" spans="1:11" ht="12.75">
      <c r="A19" s="43" t="s">
        <v>132</v>
      </c>
      <c r="B19" s="45" t="s">
        <v>1214</v>
      </c>
      <c r="C19" s="39" t="s">
        <v>1209</v>
      </c>
      <c r="D19" s="39" t="s">
        <v>1210</v>
      </c>
      <c r="E19" s="45" t="s">
        <v>1214</v>
      </c>
      <c r="F19" s="39" t="s">
        <v>1209</v>
      </c>
      <c r="G19" s="39" t="s">
        <v>1210</v>
      </c>
      <c r="H19" s="45" t="s">
        <v>1214</v>
      </c>
      <c r="I19" s="39" t="s">
        <v>1209</v>
      </c>
      <c r="J19" s="40" t="s">
        <v>1210</v>
      </c>
      <c r="K19" s="26"/>
    </row>
    <row r="20" spans="1:14" ht="12.75">
      <c r="A20" s="43">
        <v>0</v>
      </c>
      <c r="B20" s="46">
        <f aca="true" t="shared" si="3" ref="B20:B31">C20*3.7854</f>
        <v>242.2656</v>
      </c>
      <c r="C20" s="38">
        <v>64</v>
      </c>
      <c r="D20" s="38">
        <v>3.1</v>
      </c>
      <c r="E20" s="46">
        <f aca="true" t="shared" si="4" ref="E20:E31">F20*3.7854</f>
        <v>314.1882</v>
      </c>
      <c r="F20" s="38">
        <v>83</v>
      </c>
      <c r="G20" s="38">
        <v>5.5</v>
      </c>
      <c r="H20" s="46">
        <f aca="true" t="shared" si="5" ref="H20:H31">I20*3.7854</f>
        <v>317.97360000000003</v>
      </c>
      <c r="I20" s="38">
        <v>84</v>
      </c>
      <c r="J20" s="41">
        <v>5.1</v>
      </c>
      <c r="K20" s="26"/>
      <c r="L20" s="56">
        <f>B20/B6-1</f>
        <v>0.1428571428571428</v>
      </c>
      <c r="M20" s="56">
        <f>E20/E6-1</f>
        <v>0.10666666666666647</v>
      </c>
      <c r="N20" s="56">
        <f>H20/H6-1</f>
        <v>0.10526315789473695</v>
      </c>
    </row>
    <row r="21" spans="1:14" ht="12.75">
      <c r="A21" s="43">
        <v>10</v>
      </c>
      <c r="B21" s="46">
        <f t="shared" si="3"/>
        <v>230.9094</v>
      </c>
      <c r="C21" s="38">
        <v>61</v>
      </c>
      <c r="D21" s="38">
        <v>3.5</v>
      </c>
      <c r="E21" s="46">
        <f t="shared" si="4"/>
        <v>306.61740000000003</v>
      </c>
      <c r="F21" s="38">
        <v>81</v>
      </c>
      <c r="G21" s="38">
        <v>5.8</v>
      </c>
      <c r="H21" s="46">
        <f t="shared" si="5"/>
        <v>310.4028</v>
      </c>
      <c r="I21" s="38">
        <v>82</v>
      </c>
      <c r="J21" s="41">
        <v>5.4</v>
      </c>
      <c r="K21" s="26"/>
      <c r="L21" s="56">
        <f aca="true" t="shared" si="6" ref="L21:L29">B21/B7-1</f>
        <v>0.17307692307692313</v>
      </c>
      <c r="M21" s="56">
        <f aca="true" t="shared" si="7" ref="M21:M28">E21/E7-1</f>
        <v>0.125</v>
      </c>
      <c r="N21" s="56">
        <f aca="true" t="shared" si="8" ref="N21:N30">H21/H7-1</f>
        <v>0.12328767123287676</v>
      </c>
    </row>
    <row r="22" spans="1:14" ht="12.75">
      <c r="A22" s="43">
        <v>20</v>
      </c>
      <c r="B22" s="46">
        <f t="shared" si="3"/>
        <v>215.7678</v>
      </c>
      <c r="C22" s="38">
        <v>57</v>
      </c>
      <c r="D22" s="38">
        <v>4.2</v>
      </c>
      <c r="E22" s="46">
        <f t="shared" si="4"/>
        <v>291.4758</v>
      </c>
      <c r="F22" s="38">
        <v>77</v>
      </c>
      <c r="G22" s="38">
        <v>6.7</v>
      </c>
      <c r="H22" s="46">
        <f t="shared" si="5"/>
        <v>295.26120000000003</v>
      </c>
      <c r="I22" s="38">
        <v>78</v>
      </c>
      <c r="J22" s="41">
        <v>6.1</v>
      </c>
      <c r="K22" s="26"/>
      <c r="L22" s="56">
        <f t="shared" si="6"/>
        <v>0.18749999999999978</v>
      </c>
      <c r="M22" s="56">
        <f t="shared" si="7"/>
        <v>0.14925373134328357</v>
      </c>
      <c r="N22" s="56">
        <f t="shared" si="8"/>
        <v>0.1470588235294119</v>
      </c>
    </row>
    <row r="23" spans="1:14" ht="12.75">
      <c r="A23" s="43">
        <v>30</v>
      </c>
      <c r="B23" s="46">
        <f t="shared" si="3"/>
        <v>200.6262</v>
      </c>
      <c r="C23" s="38">
        <v>53</v>
      </c>
      <c r="D23" s="38">
        <v>5</v>
      </c>
      <c r="E23" s="46">
        <f t="shared" si="4"/>
        <v>272.5488</v>
      </c>
      <c r="F23" s="38">
        <v>72</v>
      </c>
      <c r="G23" s="38">
        <v>7.7</v>
      </c>
      <c r="H23" s="46">
        <f t="shared" si="5"/>
        <v>276.3342</v>
      </c>
      <c r="I23" s="38">
        <v>73</v>
      </c>
      <c r="J23" s="41">
        <v>6.8</v>
      </c>
      <c r="K23" s="26"/>
      <c r="L23" s="56">
        <f t="shared" si="6"/>
        <v>0.20454545454545459</v>
      </c>
      <c r="M23" s="56">
        <f t="shared" si="7"/>
        <v>0.14285714285714302</v>
      </c>
      <c r="N23" s="56">
        <f t="shared" si="8"/>
        <v>0.15873015873015883</v>
      </c>
    </row>
    <row r="24" spans="1:14" ht="12.75">
      <c r="A24" s="43">
        <v>40</v>
      </c>
      <c r="B24" s="46">
        <f t="shared" si="3"/>
        <v>189.27</v>
      </c>
      <c r="C24" s="38">
        <v>50</v>
      </c>
      <c r="D24" s="38">
        <v>5.8</v>
      </c>
      <c r="E24" s="46">
        <f t="shared" si="4"/>
        <v>257.4072</v>
      </c>
      <c r="F24" s="38">
        <v>68</v>
      </c>
      <c r="G24" s="38">
        <v>8.8</v>
      </c>
      <c r="H24" s="46">
        <f t="shared" si="5"/>
        <v>257.4072</v>
      </c>
      <c r="I24" s="38">
        <v>68</v>
      </c>
      <c r="J24" s="41">
        <v>7.6</v>
      </c>
      <c r="K24" s="26"/>
      <c r="L24" s="56">
        <f t="shared" si="6"/>
        <v>0.25</v>
      </c>
      <c r="M24" s="56">
        <f t="shared" si="7"/>
        <v>0.17241379310344818</v>
      </c>
      <c r="N24" s="56">
        <f t="shared" si="8"/>
        <v>0.15254237288135575</v>
      </c>
    </row>
    <row r="25" spans="1:14" ht="12.75">
      <c r="A25" s="43">
        <v>50</v>
      </c>
      <c r="B25" s="46">
        <f t="shared" si="3"/>
        <v>174.1284</v>
      </c>
      <c r="C25" s="38">
        <v>46</v>
      </c>
      <c r="D25" s="38">
        <v>6.6</v>
      </c>
      <c r="E25" s="46">
        <f t="shared" si="4"/>
        <v>242.2656</v>
      </c>
      <c r="F25" s="38">
        <v>64</v>
      </c>
      <c r="G25" s="38">
        <v>9.8</v>
      </c>
      <c r="H25" s="46">
        <f t="shared" si="5"/>
        <v>242.2656</v>
      </c>
      <c r="I25" s="38">
        <v>64</v>
      </c>
      <c r="J25" s="41">
        <v>8.4</v>
      </c>
      <c r="K25" s="26"/>
      <c r="L25" s="56">
        <f t="shared" si="6"/>
        <v>0.2777777777777777</v>
      </c>
      <c r="M25" s="56">
        <f t="shared" si="7"/>
        <v>0.18518518518518534</v>
      </c>
      <c r="N25" s="56">
        <f t="shared" si="8"/>
        <v>0.18518518518518534</v>
      </c>
    </row>
    <row r="26" spans="1:14" ht="12.75">
      <c r="A26" s="43">
        <v>60</v>
      </c>
      <c r="B26" s="46">
        <f t="shared" si="3"/>
        <v>162.7722</v>
      </c>
      <c r="C26" s="38">
        <v>43</v>
      </c>
      <c r="D26" s="38">
        <v>7.5</v>
      </c>
      <c r="E26" s="46">
        <f t="shared" si="4"/>
        <v>219.5532</v>
      </c>
      <c r="F26" s="38">
        <v>58</v>
      </c>
      <c r="G26" s="38">
        <v>10.9</v>
      </c>
      <c r="H26" s="46">
        <f t="shared" si="5"/>
        <v>223.3386</v>
      </c>
      <c r="I26" s="38">
        <v>59</v>
      </c>
      <c r="J26" s="41">
        <v>9.2</v>
      </c>
      <c r="K26" s="26"/>
      <c r="L26" s="56">
        <f t="shared" si="6"/>
        <v>0.34375</v>
      </c>
      <c r="M26" s="56">
        <f t="shared" si="7"/>
        <v>0.18367346938775508</v>
      </c>
      <c r="N26" s="56">
        <f t="shared" si="8"/>
        <v>0.17999999999999994</v>
      </c>
    </row>
    <row r="27" spans="1:14" ht="12.75">
      <c r="A27" s="43">
        <v>70</v>
      </c>
      <c r="B27" s="46">
        <f t="shared" si="3"/>
        <v>147.63060000000002</v>
      </c>
      <c r="C27" s="38">
        <v>39</v>
      </c>
      <c r="D27" s="38">
        <v>8.4</v>
      </c>
      <c r="E27" s="46">
        <f t="shared" si="4"/>
        <v>193.0554</v>
      </c>
      <c r="F27" s="38">
        <v>51</v>
      </c>
      <c r="G27" s="38">
        <v>12</v>
      </c>
      <c r="H27" s="46">
        <f t="shared" si="5"/>
        <v>208.197</v>
      </c>
      <c r="I27" s="38">
        <v>55</v>
      </c>
      <c r="J27" s="41">
        <v>10.1</v>
      </c>
      <c r="K27" s="26"/>
      <c r="L27" s="56">
        <f t="shared" si="6"/>
        <v>0.392857142857143</v>
      </c>
      <c r="M27" s="56">
        <f t="shared" si="7"/>
        <v>0.2749999999999999</v>
      </c>
      <c r="N27" s="56">
        <f t="shared" si="8"/>
        <v>0.2222222222222221</v>
      </c>
    </row>
    <row r="28" spans="1:14" ht="12.75">
      <c r="A28" s="43">
        <v>80</v>
      </c>
      <c r="B28" s="46">
        <f t="shared" si="3"/>
        <v>121.1328</v>
      </c>
      <c r="C28" s="38">
        <v>32</v>
      </c>
      <c r="D28" s="38">
        <v>9.4</v>
      </c>
      <c r="E28" s="46">
        <f t="shared" si="4"/>
        <v>147.63060000000002</v>
      </c>
      <c r="F28" s="38">
        <v>39</v>
      </c>
      <c r="G28" s="38">
        <v>13.2</v>
      </c>
      <c r="H28" s="46">
        <f t="shared" si="5"/>
        <v>174.1284</v>
      </c>
      <c r="I28" s="38">
        <v>46</v>
      </c>
      <c r="J28" s="41">
        <v>10.9</v>
      </c>
      <c r="K28" s="26"/>
      <c r="L28" s="56">
        <f t="shared" si="6"/>
        <v>0.4545454545454546</v>
      </c>
      <c r="M28" s="56">
        <f t="shared" si="7"/>
        <v>0.3448275862068966</v>
      </c>
      <c r="N28" s="56">
        <f t="shared" si="8"/>
        <v>0.2432432432432432</v>
      </c>
    </row>
    <row r="29" spans="1:14" ht="12.75">
      <c r="A29" s="43">
        <v>90</v>
      </c>
      <c r="B29" s="46">
        <f t="shared" si="3"/>
        <v>87.0642</v>
      </c>
      <c r="C29" s="38">
        <v>23</v>
      </c>
      <c r="D29" s="38">
        <v>10.3</v>
      </c>
      <c r="E29" s="46">
        <f t="shared" si="4"/>
        <v>45.424800000000005</v>
      </c>
      <c r="F29" s="38">
        <v>12</v>
      </c>
      <c r="G29" s="38">
        <v>14.4</v>
      </c>
      <c r="H29" s="46">
        <f t="shared" si="5"/>
        <v>143.8452</v>
      </c>
      <c r="I29" s="38">
        <v>38</v>
      </c>
      <c r="J29" s="41">
        <v>11.9</v>
      </c>
      <c r="K29" s="26"/>
      <c r="L29" s="56">
        <f t="shared" si="6"/>
        <v>0.9166666666666665</v>
      </c>
      <c r="M29" s="56"/>
      <c r="N29" s="56">
        <f t="shared" si="8"/>
        <v>0.40740740740740744</v>
      </c>
    </row>
    <row r="30" spans="1:14" ht="12.75">
      <c r="A30" s="43">
        <v>100</v>
      </c>
      <c r="B30" s="46">
        <f t="shared" si="3"/>
        <v>56.781</v>
      </c>
      <c r="C30" s="38">
        <v>15</v>
      </c>
      <c r="D30" s="38">
        <v>11.5</v>
      </c>
      <c r="E30" s="46">
        <f t="shared" si="4"/>
        <v>3.7854</v>
      </c>
      <c r="F30" s="38">
        <v>1</v>
      </c>
      <c r="G30" s="38">
        <v>15.3</v>
      </c>
      <c r="H30" s="46">
        <f t="shared" si="5"/>
        <v>71.9226</v>
      </c>
      <c r="I30" s="38">
        <v>19</v>
      </c>
      <c r="J30" s="41">
        <v>12.9</v>
      </c>
      <c r="K30" s="26"/>
      <c r="L30" s="56"/>
      <c r="M30" s="1"/>
      <c r="N30" s="56">
        <f t="shared" si="8"/>
        <v>0.7272727272727273</v>
      </c>
    </row>
    <row r="31" spans="1:14" ht="12.75">
      <c r="A31" s="43">
        <v>110</v>
      </c>
      <c r="B31" s="46">
        <f t="shared" si="3"/>
        <v>0</v>
      </c>
      <c r="C31" s="38">
        <v>0</v>
      </c>
      <c r="D31" s="38">
        <v>12.7</v>
      </c>
      <c r="E31" s="46">
        <f t="shared" si="4"/>
        <v>0</v>
      </c>
      <c r="F31" s="38"/>
      <c r="G31" s="38"/>
      <c r="H31" s="46">
        <f t="shared" si="5"/>
        <v>34.0686</v>
      </c>
      <c r="I31" s="38">
        <v>9</v>
      </c>
      <c r="J31" s="38">
        <v>14</v>
      </c>
      <c r="K31" s="44"/>
      <c r="L31" s="56"/>
      <c r="M31" s="1"/>
      <c r="N31" s="56"/>
    </row>
    <row r="32" spans="1:11" ht="12.75">
      <c r="A32" s="43"/>
      <c r="B32" s="38"/>
      <c r="C32" s="38"/>
      <c r="D32" s="38"/>
      <c r="E32" s="38"/>
      <c r="F32" s="38"/>
      <c r="G32" s="38"/>
      <c r="H32" s="38"/>
      <c r="I32" s="38"/>
      <c r="J32" s="41"/>
      <c r="K32" s="22"/>
    </row>
    <row r="33" spans="1:6" ht="12.75">
      <c r="A33" s="131" t="s">
        <v>1215</v>
      </c>
      <c r="B33" s="131"/>
      <c r="C33" s="131"/>
      <c r="D33" s="131"/>
      <c r="E33" s="131"/>
      <c r="F33" s="131"/>
    </row>
    <row r="35" spans="1:11" ht="20.25">
      <c r="A35" s="128" t="s">
        <v>1456</v>
      </c>
      <c r="B35" s="128"/>
      <c r="C35" s="128"/>
      <c r="D35" s="128"/>
      <c r="E35" s="128"/>
      <c r="F35" s="128"/>
      <c r="G35" s="128"/>
      <c r="H35" s="128"/>
      <c r="I35" s="128"/>
      <c r="J35" s="128"/>
      <c r="K35" s="128"/>
    </row>
    <row r="36" spans="1:11" ht="12.75" customHeight="1">
      <c r="A36" s="79"/>
      <c r="B36" s="129" t="s">
        <v>1457</v>
      </c>
      <c r="C36" s="129"/>
      <c r="D36" s="129"/>
      <c r="E36" s="78"/>
      <c r="F36" s="78"/>
      <c r="G36" s="78"/>
      <c r="H36" s="78"/>
      <c r="I36" s="78"/>
      <c r="J36" s="78"/>
      <c r="K36" s="78"/>
    </row>
    <row r="37" spans="1:11" ht="12.75">
      <c r="A37" s="80" t="s">
        <v>132</v>
      </c>
      <c r="B37" s="81" t="s">
        <v>1214</v>
      </c>
      <c r="C37" s="82" t="s">
        <v>1209</v>
      </c>
      <c r="D37" s="82" t="s">
        <v>1458</v>
      </c>
      <c r="E37" s="45"/>
      <c r="F37" s="39"/>
      <c r="G37" s="39"/>
      <c r="H37" s="45"/>
      <c r="I37" s="39"/>
      <c r="J37" s="40"/>
      <c r="K37" s="26"/>
    </row>
    <row r="38" spans="1:11" ht="12.75">
      <c r="A38" s="80">
        <v>0</v>
      </c>
      <c r="B38" s="46">
        <f aca="true" t="shared" si="9" ref="B38:B49">C38*3.7854</f>
        <v>283.90500000000003</v>
      </c>
      <c r="C38" s="38">
        <v>75</v>
      </c>
      <c r="D38" s="38">
        <v>4.7</v>
      </c>
      <c r="E38" s="46"/>
      <c r="F38" s="38"/>
      <c r="G38" s="38"/>
      <c r="H38" s="46"/>
      <c r="I38" s="38"/>
      <c r="J38" s="41"/>
      <c r="K38" s="26"/>
    </row>
    <row r="39" spans="1:11" ht="12.75">
      <c r="A39" s="80">
        <v>10</v>
      </c>
      <c r="B39" s="46">
        <f t="shared" si="9"/>
        <v>272.5488</v>
      </c>
      <c r="C39" s="38">
        <v>72</v>
      </c>
      <c r="D39" s="38">
        <v>5.2</v>
      </c>
      <c r="E39" s="46"/>
      <c r="F39" s="38"/>
      <c r="G39" s="38"/>
      <c r="H39" s="46"/>
      <c r="I39" s="38"/>
      <c r="J39" s="41"/>
      <c r="K39" s="26"/>
    </row>
    <row r="40" spans="1:11" ht="12.75">
      <c r="A40" s="80">
        <v>20</v>
      </c>
      <c r="B40" s="46">
        <f t="shared" si="9"/>
        <v>253.6218</v>
      </c>
      <c r="C40" s="38">
        <v>67</v>
      </c>
      <c r="D40" s="38">
        <v>6.1</v>
      </c>
      <c r="E40" s="46"/>
      <c r="F40" s="38"/>
      <c r="G40" s="38"/>
      <c r="H40" s="46"/>
      <c r="I40" s="38"/>
      <c r="J40" s="41"/>
      <c r="K40" s="26"/>
    </row>
    <row r="41" spans="1:11" ht="12.75">
      <c r="A41" s="80">
        <v>30</v>
      </c>
      <c r="B41" s="46">
        <f t="shared" si="9"/>
        <v>238.4802</v>
      </c>
      <c r="C41" s="38">
        <v>63</v>
      </c>
      <c r="D41" s="38">
        <v>7.2</v>
      </c>
      <c r="E41" s="46"/>
      <c r="F41" s="38"/>
      <c r="G41" s="38"/>
      <c r="H41" s="46"/>
      <c r="I41" s="38"/>
      <c r="J41" s="41"/>
      <c r="K41" s="26"/>
    </row>
    <row r="42" spans="1:11" ht="12.75">
      <c r="A42" s="80">
        <v>40</v>
      </c>
      <c r="B42" s="46">
        <f t="shared" si="9"/>
        <v>219.5532</v>
      </c>
      <c r="C42" s="38">
        <v>58</v>
      </c>
      <c r="D42" s="38">
        <v>8.3</v>
      </c>
      <c r="E42" s="46"/>
      <c r="F42" s="38"/>
      <c r="G42" s="38"/>
      <c r="H42" s="46"/>
      <c r="I42" s="38"/>
      <c r="J42" s="41"/>
      <c r="K42" s="26"/>
    </row>
    <row r="43" spans="1:11" ht="12.75">
      <c r="A43" s="80">
        <v>50</v>
      </c>
      <c r="B43" s="46">
        <f t="shared" si="9"/>
        <v>204.4116</v>
      </c>
      <c r="C43" s="38">
        <v>54</v>
      </c>
      <c r="D43" s="38">
        <v>9.4</v>
      </c>
      <c r="E43" s="46"/>
      <c r="F43" s="38"/>
      <c r="G43" s="38"/>
      <c r="H43" s="46"/>
      <c r="I43" s="38"/>
      <c r="J43" s="41"/>
      <c r="K43" s="26"/>
    </row>
    <row r="44" spans="1:11" ht="12.75">
      <c r="A44" s="80">
        <v>60</v>
      </c>
      <c r="B44" s="46">
        <f t="shared" si="9"/>
        <v>185.4846</v>
      </c>
      <c r="C44" s="38">
        <v>49</v>
      </c>
      <c r="D44" s="38">
        <v>10.6</v>
      </c>
      <c r="E44" s="46"/>
      <c r="F44" s="38"/>
      <c r="G44" s="38"/>
      <c r="H44" s="46"/>
      <c r="I44" s="38"/>
      <c r="J44" s="41"/>
      <c r="K44" s="26"/>
    </row>
    <row r="45" spans="1:11" ht="12.75">
      <c r="A45" s="80">
        <v>70</v>
      </c>
      <c r="B45" s="46">
        <f t="shared" si="9"/>
        <v>151.416</v>
      </c>
      <c r="C45" s="38">
        <v>40</v>
      </c>
      <c r="D45" s="38">
        <v>11.8</v>
      </c>
      <c r="E45" s="46"/>
      <c r="F45" s="38"/>
      <c r="G45" s="38"/>
      <c r="H45" s="46"/>
      <c r="I45" s="38"/>
      <c r="J45" s="41"/>
      <c r="K45" s="26"/>
    </row>
    <row r="46" spans="1:11" ht="12.75">
      <c r="A46" s="80">
        <v>80</v>
      </c>
      <c r="B46" s="46">
        <f t="shared" si="9"/>
        <v>109.7766</v>
      </c>
      <c r="C46" s="38">
        <v>29</v>
      </c>
      <c r="D46" s="38">
        <v>13.3</v>
      </c>
      <c r="E46" s="46"/>
      <c r="F46" s="38"/>
      <c r="G46" s="38"/>
      <c r="H46" s="46"/>
      <c r="I46" s="38"/>
      <c r="J46" s="41"/>
      <c r="K46" s="26"/>
    </row>
    <row r="47" spans="1:11" ht="12.75">
      <c r="A47" s="80">
        <v>90</v>
      </c>
      <c r="B47" s="46">
        <f t="shared" si="9"/>
        <v>0</v>
      </c>
      <c r="C47" s="38">
        <v>0</v>
      </c>
      <c r="D47" s="38">
        <v>14.6</v>
      </c>
      <c r="E47" s="46"/>
      <c r="F47" s="38"/>
      <c r="G47" s="38"/>
      <c r="H47" s="46"/>
      <c r="I47" s="38"/>
      <c r="J47" s="41"/>
      <c r="K47" s="26"/>
    </row>
    <row r="48" spans="1:11" ht="12.75">
      <c r="A48" s="80">
        <v>100</v>
      </c>
      <c r="B48" s="46">
        <f t="shared" si="9"/>
        <v>0</v>
      </c>
      <c r="C48" s="80"/>
      <c r="D48" s="80"/>
      <c r="E48" s="46"/>
      <c r="F48" s="38"/>
      <c r="G48" s="38"/>
      <c r="H48" s="46"/>
      <c r="I48" s="38"/>
      <c r="J48" s="41"/>
      <c r="K48" s="26"/>
    </row>
    <row r="49" spans="1:11" ht="12.75">
      <c r="A49" s="80">
        <v>110</v>
      </c>
      <c r="B49" s="46">
        <f t="shared" si="9"/>
        <v>0</v>
      </c>
      <c r="C49" s="80"/>
      <c r="D49" s="80"/>
      <c r="E49" s="46"/>
      <c r="F49" s="38"/>
      <c r="G49" s="38"/>
      <c r="H49" s="46"/>
      <c r="I49" s="38"/>
      <c r="J49" s="38"/>
      <c r="K49" s="44"/>
    </row>
    <row r="51" spans="1:11" ht="20.25">
      <c r="A51" s="128" t="s">
        <v>1459</v>
      </c>
      <c r="B51" s="128"/>
      <c r="C51" s="128"/>
      <c r="D51" s="128"/>
      <c r="E51" s="128"/>
      <c r="F51" s="128"/>
      <c r="G51" s="128"/>
      <c r="H51" s="128"/>
      <c r="I51" s="128"/>
      <c r="J51" s="128"/>
      <c r="K51" s="128"/>
    </row>
    <row r="52" spans="1:11" ht="20.25">
      <c r="A52" s="79"/>
      <c r="B52" s="129" t="s">
        <v>1460</v>
      </c>
      <c r="C52" s="129"/>
      <c r="D52" s="129"/>
      <c r="E52" s="78"/>
      <c r="F52" s="78"/>
      <c r="G52" s="78"/>
      <c r="H52" s="78"/>
      <c r="I52" s="78"/>
      <c r="J52" s="78"/>
      <c r="K52" s="78"/>
    </row>
    <row r="53" spans="1:11" ht="12.75">
      <c r="A53" s="80" t="s">
        <v>132</v>
      </c>
      <c r="B53" s="81" t="s">
        <v>1214</v>
      </c>
      <c r="C53" s="82" t="s">
        <v>1209</v>
      </c>
      <c r="D53" s="82" t="s">
        <v>1458</v>
      </c>
      <c r="E53" s="45"/>
      <c r="F53" s="39"/>
      <c r="G53" s="39"/>
      <c r="H53" s="45"/>
      <c r="I53" s="39"/>
      <c r="J53" s="40"/>
      <c r="K53" s="26"/>
    </row>
    <row r="54" spans="1:11" ht="12.75">
      <c r="A54" s="80">
        <v>0</v>
      </c>
      <c r="B54" s="46">
        <f aca="true" t="shared" si="10" ref="B54:B65">C54*3.7854</f>
        <v>143.8452</v>
      </c>
      <c r="C54" s="38">
        <v>38</v>
      </c>
      <c r="D54" s="38"/>
      <c r="E54" s="46"/>
      <c r="F54" s="38"/>
      <c r="G54" s="38"/>
      <c r="H54" s="46"/>
      <c r="I54" s="38"/>
      <c r="J54" s="41"/>
      <c r="K54" s="26"/>
    </row>
    <row r="55" spans="1:11" ht="12.75">
      <c r="A55" s="80">
        <v>10</v>
      </c>
      <c r="B55" s="46">
        <f t="shared" si="10"/>
        <v>132.489</v>
      </c>
      <c r="C55" s="38">
        <v>35</v>
      </c>
      <c r="D55" s="38"/>
      <c r="E55" s="46"/>
      <c r="F55" s="38"/>
      <c r="G55" s="38"/>
      <c r="H55" s="46"/>
      <c r="I55" s="38"/>
      <c r="J55" s="41"/>
      <c r="K55" s="26"/>
    </row>
    <row r="56" spans="1:11" ht="12.75">
      <c r="A56" s="80">
        <v>20</v>
      </c>
      <c r="B56" s="46">
        <f t="shared" si="10"/>
        <v>124.9182</v>
      </c>
      <c r="C56" s="38">
        <v>33</v>
      </c>
      <c r="D56" s="38"/>
      <c r="E56" s="46"/>
      <c r="F56" s="38"/>
      <c r="G56" s="38"/>
      <c r="H56" s="46"/>
      <c r="I56" s="38"/>
      <c r="J56" s="41"/>
      <c r="K56" s="26"/>
    </row>
    <row r="57" spans="1:11" ht="12.75">
      <c r="A57" s="80">
        <v>30</v>
      </c>
      <c r="B57" s="46">
        <f t="shared" si="10"/>
        <v>113.562</v>
      </c>
      <c r="C57" s="38">
        <v>30</v>
      </c>
      <c r="D57" s="38"/>
      <c r="E57" s="46"/>
      <c r="F57" s="38"/>
      <c r="G57" s="38"/>
      <c r="H57" s="46"/>
      <c r="I57" s="38"/>
      <c r="J57" s="41"/>
      <c r="K57" s="26"/>
    </row>
    <row r="58" spans="1:11" ht="12.75">
      <c r="A58" s="80">
        <v>40</v>
      </c>
      <c r="B58" s="46">
        <f t="shared" si="10"/>
        <v>102.2058</v>
      </c>
      <c r="C58" s="38">
        <v>27</v>
      </c>
      <c r="D58" s="38"/>
      <c r="E58" s="46"/>
      <c r="F58" s="38"/>
      <c r="G58" s="38"/>
      <c r="H58" s="46"/>
      <c r="I58" s="38"/>
      <c r="J58" s="41"/>
      <c r="K58" s="26"/>
    </row>
    <row r="59" spans="1:11" ht="12.75">
      <c r="A59" s="80">
        <v>50</v>
      </c>
      <c r="B59" s="46">
        <f t="shared" si="10"/>
        <v>94.635</v>
      </c>
      <c r="C59" s="38">
        <v>25</v>
      </c>
      <c r="D59" s="38"/>
      <c r="E59" s="46"/>
      <c r="F59" s="38"/>
      <c r="G59" s="38"/>
      <c r="H59" s="46"/>
      <c r="I59" s="38"/>
      <c r="J59" s="41"/>
      <c r="K59" s="26"/>
    </row>
    <row r="60" spans="1:11" ht="12.75">
      <c r="A60" s="80">
        <v>60</v>
      </c>
      <c r="B60" s="46">
        <f t="shared" si="10"/>
        <v>90.84960000000001</v>
      </c>
      <c r="C60" s="38">
        <v>24</v>
      </c>
      <c r="D60" s="38"/>
      <c r="E60" s="46"/>
      <c r="F60" s="38"/>
      <c r="G60" s="38"/>
      <c r="H60" s="46"/>
      <c r="I60" s="38"/>
      <c r="J60" s="41"/>
      <c r="K60" s="26"/>
    </row>
    <row r="61" spans="1:11" ht="12.75">
      <c r="A61" s="80">
        <v>70</v>
      </c>
      <c r="B61" s="46">
        <f t="shared" si="10"/>
        <v>75.708</v>
      </c>
      <c r="C61" s="38">
        <v>20</v>
      </c>
      <c r="D61" s="38"/>
      <c r="E61" s="46"/>
      <c r="F61" s="38"/>
      <c r="G61" s="38"/>
      <c r="H61" s="46"/>
      <c r="I61" s="38"/>
      <c r="J61" s="41"/>
      <c r="K61" s="26"/>
    </row>
    <row r="62" spans="1:11" ht="12.75">
      <c r="A62" s="80">
        <v>80</v>
      </c>
      <c r="B62" s="46">
        <f t="shared" si="10"/>
        <v>52.9956</v>
      </c>
      <c r="C62" s="38">
        <v>14</v>
      </c>
      <c r="D62" s="38"/>
      <c r="E62" s="46"/>
      <c r="F62" s="38"/>
      <c r="G62" s="38"/>
      <c r="H62" s="46"/>
      <c r="I62" s="38"/>
      <c r="J62" s="41"/>
      <c r="K62" s="26"/>
    </row>
    <row r="63" spans="1:11" ht="12.75">
      <c r="A63" s="80">
        <v>90</v>
      </c>
      <c r="B63" s="46">
        <f t="shared" si="10"/>
        <v>0</v>
      </c>
      <c r="C63" s="38">
        <v>0</v>
      </c>
      <c r="D63" s="38"/>
      <c r="E63" s="46"/>
      <c r="F63" s="38"/>
      <c r="G63" s="38"/>
      <c r="H63" s="46"/>
      <c r="I63" s="38"/>
      <c r="J63" s="41"/>
      <c r="K63" s="26"/>
    </row>
    <row r="64" spans="1:11" ht="12.75">
      <c r="A64" s="80">
        <v>100</v>
      </c>
      <c r="B64" s="46">
        <f t="shared" si="10"/>
        <v>0</v>
      </c>
      <c r="C64" s="80"/>
      <c r="D64" s="80"/>
      <c r="E64" s="46"/>
      <c r="F64" s="38"/>
      <c r="G64" s="38"/>
      <c r="H64" s="46"/>
      <c r="I64" s="38"/>
      <c r="J64" s="41"/>
      <c r="K64" s="26"/>
    </row>
    <row r="65" spans="1:11" ht="12.75">
      <c r="A65" s="80">
        <v>110</v>
      </c>
      <c r="B65" s="46">
        <f t="shared" si="10"/>
        <v>0</v>
      </c>
      <c r="C65" s="80"/>
      <c r="D65" s="80"/>
      <c r="E65" s="46"/>
      <c r="F65" s="38"/>
      <c r="G65" s="38"/>
      <c r="H65" s="46"/>
      <c r="I65" s="38"/>
      <c r="J65" s="38"/>
      <c r="K65" s="44"/>
    </row>
    <row r="68" ht="12.75">
      <c r="A68" t="s">
        <v>281</v>
      </c>
    </row>
    <row r="69" spans="1:5" ht="12.75">
      <c r="A69" s="80" t="s">
        <v>132</v>
      </c>
      <c r="B69" s="81" t="s">
        <v>1214</v>
      </c>
      <c r="C69" s="82" t="s">
        <v>1209</v>
      </c>
      <c r="D69" s="82" t="s">
        <v>1458</v>
      </c>
      <c r="E69" t="s">
        <v>1068</v>
      </c>
    </row>
    <row r="70" spans="1:5" ht="12.75">
      <c r="A70">
        <v>60</v>
      </c>
      <c r="B70">
        <v>185</v>
      </c>
      <c r="C70" s="1">
        <f>B70/3.7854</f>
        <v>48.871981824906214</v>
      </c>
      <c r="E70">
        <v>13</v>
      </c>
    </row>
    <row r="71" spans="1:5" ht="12.75">
      <c r="A71">
        <v>80</v>
      </c>
      <c r="B71">
        <v>143</v>
      </c>
      <c r="C71" s="1">
        <f>B71/3.7854</f>
        <v>37.77672108627886</v>
      </c>
      <c r="E71">
        <v>13</v>
      </c>
    </row>
  </sheetData>
  <mergeCells count="10">
    <mergeCell ref="A3:K3"/>
    <mergeCell ref="A33:F33"/>
    <mergeCell ref="B4:D4"/>
    <mergeCell ref="E4:G4"/>
    <mergeCell ref="H4:J4"/>
    <mergeCell ref="A18:K18"/>
    <mergeCell ref="A35:K35"/>
    <mergeCell ref="B36:D36"/>
    <mergeCell ref="A51:K51"/>
    <mergeCell ref="B52:D52"/>
  </mergeCells>
  <hyperlinks>
    <hyperlink ref="A33" r:id="rId1" display="http://www.autoperformanceengineering.com/html/fuelpump.html"/>
  </hyperlinks>
  <printOptions/>
  <pageMargins left="0.75" right="0.75" top="1" bottom="1" header="0.5" footer="0.5"/>
  <pageSetup horizontalDpi="300" verticalDpi="300" orientation="portrait" r:id="rId2"/>
</worksheet>
</file>

<file path=xl/worksheets/sheet6.xml><?xml version="1.0" encoding="utf-8"?>
<worksheet xmlns="http://schemas.openxmlformats.org/spreadsheetml/2006/main" xmlns:r="http://schemas.openxmlformats.org/officeDocument/2006/relationships">
  <dimension ref="A2:C35"/>
  <sheetViews>
    <sheetView workbookViewId="0" topLeftCell="A1">
      <selection activeCell="D26" sqref="D26"/>
    </sheetView>
  </sheetViews>
  <sheetFormatPr defaultColWidth="9.140625" defaultRowHeight="12.75"/>
  <sheetData>
    <row r="2" ht="12.75">
      <c r="A2" t="s">
        <v>939</v>
      </c>
    </row>
    <row r="4" spans="1:3" ht="12.75">
      <c r="A4" s="11" t="s">
        <v>936</v>
      </c>
      <c r="B4" s="11" t="s">
        <v>937</v>
      </c>
      <c r="C4" s="11" t="s">
        <v>938</v>
      </c>
    </row>
    <row r="5" spans="1:3" ht="12.75">
      <c r="A5" s="35">
        <v>1.4</v>
      </c>
      <c r="B5" s="35">
        <v>10.08</v>
      </c>
      <c r="C5" s="35">
        <v>0.69</v>
      </c>
    </row>
    <row r="6" spans="1:3" ht="12.75">
      <c r="A6" s="35">
        <v>1.45</v>
      </c>
      <c r="B6" s="35">
        <v>10.23</v>
      </c>
      <c r="C6" s="35">
        <v>0.7</v>
      </c>
    </row>
    <row r="7" spans="1:3" ht="12.75">
      <c r="A7" s="35">
        <v>1.5</v>
      </c>
      <c r="B7" s="35">
        <v>10.38</v>
      </c>
      <c r="C7" s="35">
        <v>0.71</v>
      </c>
    </row>
    <row r="8" spans="1:3" ht="12.75">
      <c r="A8" s="35">
        <v>1.55</v>
      </c>
      <c r="B8" s="35">
        <v>10.53</v>
      </c>
      <c r="C8" s="35">
        <v>0.72</v>
      </c>
    </row>
    <row r="9" spans="1:3" ht="12.75">
      <c r="A9" s="35">
        <v>1.6</v>
      </c>
      <c r="B9" s="35">
        <v>10.69</v>
      </c>
      <c r="C9" s="35">
        <v>0.73</v>
      </c>
    </row>
    <row r="10" spans="1:3" ht="12.75">
      <c r="A10" s="35">
        <v>1.65</v>
      </c>
      <c r="B10" s="35">
        <v>10.86</v>
      </c>
      <c r="C10" s="35">
        <v>0.74</v>
      </c>
    </row>
    <row r="11" spans="1:3" ht="12.75">
      <c r="A11" s="35">
        <v>1.7</v>
      </c>
      <c r="B11" s="35">
        <v>11.03</v>
      </c>
      <c r="C11" s="35">
        <v>0.75</v>
      </c>
    </row>
    <row r="12" spans="1:3" ht="12.75">
      <c r="A12" s="35">
        <v>1.75</v>
      </c>
      <c r="B12" s="35">
        <v>11.2</v>
      </c>
      <c r="C12" s="35">
        <v>0.76</v>
      </c>
    </row>
    <row r="13" spans="1:3" ht="12.75">
      <c r="A13" s="35">
        <v>1.8</v>
      </c>
      <c r="B13" s="35">
        <v>11.38</v>
      </c>
      <c r="C13" s="35">
        <v>0.77</v>
      </c>
    </row>
    <row r="14" spans="1:3" ht="12.75">
      <c r="A14" s="35">
        <v>1.85</v>
      </c>
      <c r="B14" s="35">
        <v>11.57</v>
      </c>
      <c r="C14" s="35">
        <v>0.79</v>
      </c>
    </row>
    <row r="15" spans="1:3" ht="12.75">
      <c r="A15" s="35">
        <v>1.9</v>
      </c>
      <c r="B15" s="35">
        <v>11.76</v>
      </c>
      <c r="C15" s="35">
        <v>0.8</v>
      </c>
    </row>
    <row r="16" spans="1:3" ht="12.75">
      <c r="A16" s="35">
        <v>1.95</v>
      </c>
      <c r="B16" s="35">
        <v>11.96</v>
      </c>
      <c r="C16" s="35">
        <v>0.81</v>
      </c>
    </row>
    <row r="17" spans="1:3" ht="12.75">
      <c r="A17" s="35">
        <v>2</v>
      </c>
      <c r="B17" s="35">
        <v>12.17</v>
      </c>
      <c r="C17" s="35">
        <v>0.83</v>
      </c>
    </row>
    <row r="18" spans="1:3" ht="12.75">
      <c r="A18" s="35">
        <v>2.05</v>
      </c>
      <c r="B18" s="35">
        <v>12.38</v>
      </c>
      <c r="C18" s="35">
        <v>0.84</v>
      </c>
    </row>
    <row r="19" spans="1:3" ht="12.75">
      <c r="A19" s="35">
        <v>2.1</v>
      </c>
      <c r="B19" s="35">
        <v>12.6</v>
      </c>
      <c r="C19" s="35">
        <v>0.86</v>
      </c>
    </row>
    <row r="20" spans="1:3" ht="12.75">
      <c r="A20" s="35">
        <v>2.15</v>
      </c>
      <c r="B20" s="35">
        <v>12.83</v>
      </c>
      <c r="C20" s="35">
        <v>0.87</v>
      </c>
    </row>
    <row r="21" spans="1:3" ht="12.75">
      <c r="A21" s="35">
        <v>2.2</v>
      </c>
      <c r="B21" s="35">
        <v>13.07</v>
      </c>
      <c r="C21" s="35">
        <v>0.89</v>
      </c>
    </row>
    <row r="22" spans="1:3" ht="12.75">
      <c r="A22" s="35">
        <v>2.25</v>
      </c>
      <c r="B22" s="35">
        <v>13.31</v>
      </c>
      <c r="C22" s="35">
        <v>0.91</v>
      </c>
    </row>
    <row r="23" spans="1:3" ht="12.75">
      <c r="A23" s="35">
        <v>2.3</v>
      </c>
      <c r="B23" s="35">
        <v>13.57</v>
      </c>
      <c r="C23" s="35">
        <v>0.92</v>
      </c>
    </row>
    <row r="24" spans="1:3" ht="12.75">
      <c r="A24" s="35">
        <v>2.35</v>
      </c>
      <c r="B24" s="35">
        <v>13.84</v>
      </c>
      <c r="C24" s="35">
        <v>0.94</v>
      </c>
    </row>
    <row r="25" spans="1:3" ht="12.75">
      <c r="A25" s="35">
        <v>2.4</v>
      </c>
      <c r="B25" s="35">
        <v>14.11</v>
      </c>
      <c r="C25" s="35">
        <v>0.96</v>
      </c>
    </row>
    <row r="26" spans="1:3" ht="12.75">
      <c r="A26" s="35">
        <v>2.45</v>
      </c>
      <c r="B26" s="35">
        <v>14.4</v>
      </c>
      <c r="C26" s="35">
        <v>0.98</v>
      </c>
    </row>
    <row r="27" spans="1:3" ht="12.75">
      <c r="A27" s="35">
        <v>2.5</v>
      </c>
      <c r="B27" s="35">
        <v>14.7</v>
      </c>
      <c r="C27" s="35">
        <v>1</v>
      </c>
    </row>
    <row r="28" spans="1:3" ht="12.75">
      <c r="A28" s="35">
        <v>2.55</v>
      </c>
      <c r="B28" s="35">
        <v>15.25</v>
      </c>
      <c r="C28" s="35">
        <v>1.04</v>
      </c>
    </row>
    <row r="29" spans="1:3" ht="12.75">
      <c r="A29" s="35">
        <v>2.6</v>
      </c>
      <c r="B29" s="35">
        <v>15.84</v>
      </c>
      <c r="C29" s="35">
        <v>1.08</v>
      </c>
    </row>
    <row r="30" spans="1:3" ht="12.75">
      <c r="A30" s="35">
        <v>2.65</v>
      </c>
      <c r="B30" s="35">
        <v>16.48</v>
      </c>
      <c r="C30" s="35">
        <v>1.12</v>
      </c>
    </row>
    <row r="31" spans="1:3" ht="12.75">
      <c r="A31" s="35">
        <v>2.7</v>
      </c>
      <c r="B31" s="35">
        <v>17.18</v>
      </c>
      <c r="C31" s="35">
        <v>1.17</v>
      </c>
    </row>
    <row r="32" spans="1:3" ht="12.75">
      <c r="A32" s="35">
        <v>2.75</v>
      </c>
      <c r="B32" s="35">
        <v>17.93</v>
      </c>
      <c r="C32" s="35">
        <v>1.22</v>
      </c>
    </row>
    <row r="33" spans="1:3" ht="12.75">
      <c r="A33" s="35">
        <v>2.8</v>
      </c>
      <c r="B33" s="35">
        <v>18.76</v>
      </c>
      <c r="C33" s="35">
        <v>1.28</v>
      </c>
    </row>
    <row r="34" spans="1:3" ht="12.75">
      <c r="A34" s="35">
        <v>2.85</v>
      </c>
      <c r="B34" s="35">
        <v>19.66</v>
      </c>
      <c r="C34" s="35">
        <v>1.34</v>
      </c>
    </row>
    <row r="35" spans="1:3" ht="12.75">
      <c r="A35" s="35">
        <v>2.9</v>
      </c>
      <c r="B35" s="35">
        <v>20.66</v>
      </c>
      <c r="C35" s="35">
        <v>1.41</v>
      </c>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R83"/>
  <sheetViews>
    <sheetView workbookViewId="0" topLeftCell="A1">
      <selection activeCell="U17" sqref="U17"/>
    </sheetView>
  </sheetViews>
  <sheetFormatPr defaultColWidth="9.140625" defaultRowHeight="12.75"/>
  <cols>
    <col min="1" max="5" width="9.140625" style="7" customWidth="1"/>
    <col min="6" max="6" width="9.57421875" style="7" customWidth="1"/>
    <col min="7" max="7" width="9.28125" style="7" bestFit="1" customWidth="1"/>
    <col min="8" max="8" width="9.8515625" style="7" customWidth="1"/>
    <col min="9" max="9" width="5.421875" style="0" customWidth="1"/>
    <col min="10" max="10" width="18.421875" style="0" customWidth="1"/>
    <col min="11" max="11" width="6.57421875" style="0" bestFit="1" customWidth="1"/>
    <col min="13" max="13" width="11.8515625" style="0" customWidth="1"/>
    <col min="17" max="17" width="6.00390625" style="0" bestFit="1" customWidth="1"/>
    <col min="18" max="18" width="5.8515625" style="0" bestFit="1" customWidth="1"/>
  </cols>
  <sheetData>
    <row r="1" spans="1:6" ht="12.75">
      <c r="A1" s="57" t="s">
        <v>509</v>
      </c>
      <c r="B1" s="57" t="s">
        <v>510</v>
      </c>
      <c r="C1" s="57" t="s">
        <v>511</v>
      </c>
      <c r="D1" s="57" t="s">
        <v>512</v>
      </c>
      <c r="E1" s="57"/>
      <c r="F1" s="57"/>
    </row>
    <row r="2" spans="1:8" ht="55.5" customHeight="1">
      <c r="A2" s="35" t="s">
        <v>513</v>
      </c>
      <c r="B2" s="35" t="s">
        <v>514</v>
      </c>
      <c r="C2" s="35" t="s">
        <v>515</v>
      </c>
      <c r="D2" s="59" t="s">
        <v>516</v>
      </c>
      <c r="E2" s="59" t="s">
        <v>1332</v>
      </c>
      <c r="F2" s="60" t="s">
        <v>1331</v>
      </c>
      <c r="G2" s="59" t="s">
        <v>748</v>
      </c>
      <c r="H2" s="59" t="s">
        <v>747</v>
      </c>
    </row>
    <row r="3" spans="1:14" ht="14.25" customHeight="1">
      <c r="A3" s="35">
        <v>0</v>
      </c>
      <c r="B3" s="35">
        <v>29.92</v>
      </c>
      <c r="C3" s="35">
        <v>59</v>
      </c>
      <c r="D3" s="35">
        <v>0.002378</v>
      </c>
      <c r="E3" s="61"/>
      <c r="F3" s="61"/>
      <c r="G3" s="35"/>
      <c r="H3" s="13">
        <v>14.7</v>
      </c>
      <c r="J3" s="117" t="s">
        <v>600</v>
      </c>
      <c r="K3" s="117"/>
      <c r="L3" s="117"/>
      <c r="M3" s="117"/>
      <c r="N3" s="117"/>
    </row>
    <row r="4" spans="1:14" ht="12.75">
      <c r="A4" s="67">
        <v>1000</v>
      </c>
      <c r="B4" s="35">
        <v>28.86</v>
      </c>
      <c r="C4" s="35">
        <v>55.4</v>
      </c>
      <c r="D4" s="35">
        <v>0.002309</v>
      </c>
      <c r="E4" s="62">
        <f aca="true" t="shared" si="0" ref="E4:E23">D4/$D$3</f>
        <v>0.9709840201850294</v>
      </c>
      <c r="F4" s="63">
        <f>1-E4</f>
        <v>0.029015979814970616</v>
      </c>
      <c r="G4" s="62">
        <f>1-(D4/D3)</f>
        <v>0.029015979814970616</v>
      </c>
      <c r="H4" s="47">
        <f>$H$3*(1-A4*0.00000687535)^5.2561</f>
        <v>14.176492927209091</v>
      </c>
      <c r="J4" s="10" t="s">
        <v>129</v>
      </c>
      <c r="K4" s="13">
        <v>6</v>
      </c>
      <c r="L4" s="10" t="s">
        <v>132</v>
      </c>
      <c r="M4" s="10"/>
      <c r="N4" s="10"/>
    </row>
    <row r="5" spans="1:14" ht="12.75">
      <c r="A5" s="67">
        <v>2000</v>
      </c>
      <c r="B5" s="35">
        <v>27.82</v>
      </c>
      <c r="C5" s="35">
        <v>51.9</v>
      </c>
      <c r="D5" s="35">
        <v>0.002242</v>
      </c>
      <c r="E5" s="62">
        <f t="shared" si="0"/>
        <v>0.9428090832632465</v>
      </c>
      <c r="F5" s="63">
        <f aca="true" t="shared" si="1" ref="F5:F23">1-E5</f>
        <v>0.05719091673675347</v>
      </c>
      <c r="G5" s="62">
        <f aca="true" t="shared" si="2" ref="G5:G23">1-(D5/D4)</f>
        <v>0.029016890428756992</v>
      </c>
      <c r="H5" s="47">
        <f aca="true" t="shared" si="3" ref="H5:H23">$H$3*(1-A5*0.00000687535)^5.2561</f>
        <v>13.66818569700097</v>
      </c>
      <c r="J5" s="10" t="s">
        <v>589</v>
      </c>
      <c r="K5" s="13">
        <v>85</v>
      </c>
      <c r="L5" s="10" t="s">
        <v>590</v>
      </c>
      <c r="M5" s="16">
        <f>(K5-32)*5/9</f>
        <v>29.444444444444443</v>
      </c>
      <c r="N5" s="10" t="s">
        <v>591</v>
      </c>
    </row>
    <row r="6" spans="1:14" ht="12.75">
      <c r="A6" s="67">
        <v>3000</v>
      </c>
      <c r="B6" s="35">
        <v>26.82</v>
      </c>
      <c r="C6" s="35">
        <v>48.3</v>
      </c>
      <c r="D6" s="35">
        <v>0.002176</v>
      </c>
      <c r="E6" s="62">
        <f t="shared" si="0"/>
        <v>0.9150546677880572</v>
      </c>
      <c r="F6" s="63">
        <f t="shared" si="1"/>
        <v>0.08494533221194278</v>
      </c>
      <c r="G6" s="62">
        <f t="shared" si="2"/>
        <v>0.02943800178412137</v>
      </c>
      <c r="H6" s="47">
        <f t="shared" si="3"/>
        <v>13.174738351520416</v>
      </c>
      <c r="J6" s="10" t="s">
        <v>593</v>
      </c>
      <c r="K6" s="68">
        <v>0.6</v>
      </c>
      <c r="L6" s="10"/>
      <c r="M6" s="64" t="s">
        <v>594</v>
      </c>
      <c r="N6" s="65">
        <f>0.867178*(M5+273.15)^1.0245</f>
        <v>301.8215846476066</v>
      </c>
    </row>
    <row r="7" spans="1:14" ht="12.75">
      <c r="A7" s="67">
        <v>4000</v>
      </c>
      <c r="B7" s="35">
        <v>25.84</v>
      </c>
      <c r="C7" s="35">
        <v>44.7</v>
      </c>
      <c r="D7" s="35">
        <v>0.002112</v>
      </c>
      <c r="E7" s="62">
        <f t="shared" si="0"/>
        <v>0.8881412952060556</v>
      </c>
      <c r="F7" s="63">
        <f t="shared" si="1"/>
        <v>0.11185870479394444</v>
      </c>
      <c r="G7" s="62">
        <f t="shared" si="2"/>
        <v>0.02941176470588225</v>
      </c>
      <c r="H7" s="47">
        <f t="shared" si="3"/>
        <v>12.695816237796747</v>
      </c>
      <c r="J7" s="10" t="s">
        <v>592</v>
      </c>
      <c r="K7" s="6">
        <f>(1.1498*N10^0.97599)-273.15</f>
        <v>79.71047588385846</v>
      </c>
      <c r="L7" s="10" t="s">
        <v>591</v>
      </c>
      <c r="M7" s="64" t="s">
        <v>595</v>
      </c>
      <c r="N7" s="66">
        <f>0.0000000016496*(M5+273.15)^3.5999</f>
        <v>1.4067923003058596</v>
      </c>
    </row>
    <row r="8" spans="1:14" ht="12.75">
      <c r="A8" s="67">
        <v>5000</v>
      </c>
      <c r="B8" s="35">
        <v>24.89</v>
      </c>
      <c r="C8" s="35">
        <v>41.2</v>
      </c>
      <c r="D8" s="35">
        <v>0.002049</v>
      </c>
      <c r="E8" s="62">
        <f t="shared" si="0"/>
        <v>0.8616484440706477</v>
      </c>
      <c r="F8" s="63">
        <f t="shared" si="1"/>
        <v>0.13835155592935233</v>
      </c>
      <c r="G8" s="62">
        <f t="shared" si="2"/>
        <v>0.029829545454545525</v>
      </c>
      <c r="H8" s="47">
        <f t="shared" si="3"/>
        <v>12.23108996133321</v>
      </c>
      <c r="J8" s="10" t="s">
        <v>592</v>
      </c>
      <c r="K8" s="6">
        <f>K7*9/5+32</f>
        <v>175.4788565909452</v>
      </c>
      <c r="L8" s="10" t="s">
        <v>590</v>
      </c>
      <c r="M8" s="64" t="s">
        <v>596</v>
      </c>
      <c r="N8" s="65">
        <f>273.898*N9^0.28458</f>
        <v>332.71763726646384</v>
      </c>
    </row>
    <row r="9" spans="1:14" ht="12.75">
      <c r="A9" s="67">
        <v>6000</v>
      </c>
      <c r="B9" s="35">
        <v>23.98</v>
      </c>
      <c r="C9" s="35">
        <v>37.6</v>
      </c>
      <c r="D9" s="35">
        <v>0.001988</v>
      </c>
      <c r="E9" s="62">
        <f t="shared" si="0"/>
        <v>0.8359966358284273</v>
      </c>
      <c r="F9" s="63">
        <f t="shared" si="1"/>
        <v>0.16400336417157269</v>
      </c>
      <c r="G9" s="62">
        <f t="shared" si="2"/>
        <v>0.029770619814543653</v>
      </c>
      <c r="H9" s="47">
        <f t="shared" si="3"/>
        <v>11.780235339779598</v>
      </c>
      <c r="J9" s="10" t="s">
        <v>599</v>
      </c>
      <c r="K9" s="6">
        <f>K8-K5</f>
        <v>90.47885659094521</v>
      </c>
      <c r="L9" s="10" t="s">
        <v>590</v>
      </c>
      <c r="M9" s="64" t="s">
        <v>597</v>
      </c>
      <c r="N9" s="66">
        <f>N7*((H3+K4)/H3)</f>
        <v>1.9809932392062104</v>
      </c>
    </row>
    <row r="10" spans="1:14" ht="12.75">
      <c r="A10" s="67">
        <v>7000</v>
      </c>
      <c r="B10" s="35">
        <v>23.09</v>
      </c>
      <c r="C10" s="35">
        <v>34</v>
      </c>
      <c r="D10" s="35">
        <v>0.001928</v>
      </c>
      <c r="E10" s="62">
        <f t="shared" si="0"/>
        <v>0.8107653490328007</v>
      </c>
      <c r="F10" s="63">
        <f t="shared" si="1"/>
        <v>0.18923465096719927</v>
      </c>
      <c r="G10" s="62">
        <f t="shared" si="2"/>
        <v>0.030181086519114775</v>
      </c>
      <c r="H10" s="47">
        <f t="shared" si="3"/>
        <v>11.342933356688812</v>
      </c>
      <c r="J10" s="10" t="s">
        <v>599</v>
      </c>
      <c r="K10" s="6">
        <f>K7-M5</f>
        <v>50.26603143941402</v>
      </c>
      <c r="L10" s="10" t="s">
        <v>591</v>
      </c>
      <c r="M10" s="64" t="s">
        <v>598</v>
      </c>
      <c r="N10" s="65">
        <f>(N8-N6)/K6+N6</f>
        <v>353.3150056790353</v>
      </c>
    </row>
    <row r="11" spans="1:8" ht="12.75">
      <c r="A11" s="67">
        <v>8000</v>
      </c>
      <c r="B11" s="35">
        <v>22.22</v>
      </c>
      <c r="C11" s="35">
        <v>30.5</v>
      </c>
      <c r="D11" s="35">
        <v>0.001869</v>
      </c>
      <c r="E11" s="62">
        <f t="shared" si="0"/>
        <v>0.7859545836837679</v>
      </c>
      <c r="F11" s="63">
        <f t="shared" si="1"/>
        <v>0.21404541631623208</v>
      </c>
      <c r="G11" s="62">
        <f t="shared" si="2"/>
        <v>0.030601659751037347</v>
      </c>
      <c r="H11" s="47">
        <f t="shared" si="3"/>
        <v>10.918870115357532</v>
      </c>
    </row>
    <row r="12" spans="1:12" ht="12.75">
      <c r="A12" s="67">
        <v>9000</v>
      </c>
      <c r="B12" s="35">
        <v>21.38</v>
      </c>
      <c r="C12" s="35">
        <v>26.9</v>
      </c>
      <c r="D12" s="35">
        <v>0.001812</v>
      </c>
      <c r="E12" s="62">
        <f t="shared" si="0"/>
        <v>0.7619848612279226</v>
      </c>
      <c r="F12" s="63">
        <f t="shared" si="1"/>
        <v>0.23801513877207736</v>
      </c>
      <c r="G12" s="62">
        <f t="shared" si="2"/>
        <v>0.0304975922953451</v>
      </c>
      <c r="H12" s="47">
        <f t="shared" si="3"/>
        <v>10.507736792751714</v>
      </c>
      <c r="J12" s="10" t="s">
        <v>160</v>
      </c>
      <c r="K12" s="83">
        <v>244</v>
      </c>
      <c r="L12" s="10" t="s">
        <v>1099</v>
      </c>
    </row>
    <row r="13" spans="1:12" ht="12.75">
      <c r="A13" s="67">
        <v>10000</v>
      </c>
      <c r="B13" s="35">
        <v>20.57</v>
      </c>
      <c r="C13" s="35">
        <v>23.3</v>
      </c>
      <c r="D13" s="35">
        <v>0.001756</v>
      </c>
      <c r="E13" s="62">
        <f t="shared" si="0"/>
        <v>0.7384356602186711</v>
      </c>
      <c r="F13" s="63">
        <f t="shared" si="1"/>
        <v>0.26156433978132887</v>
      </c>
      <c r="G13" s="62">
        <f t="shared" si="2"/>
        <v>0.030905077262693204</v>
      </c>
      <c r="H13" s="47">
        <f t="shared" si="3"/>
        <v>10.109229593517131</v>
      </c>
      <c r="J13" s="10" t="s">
        <v>1100</v>
      </c>
      <c r="K13" s="32">
        <v>0.88</v>
      </c>
      <c r="L13" s="10"/>
    </row>
    <row r="14" spans="1:12" ht="12.75">
      <c r="A14" s="67">
        <v>11000</v>
      </c>
      <c r="B14" s="35">
        <v>19.79</v>
      </c>
      <c r="C14" s="35">
        <v>19.8</v>
      </c>
      <c r="D14" s="35">
        <v>0.001701</v>
      </c>
      <c r="E14" s="62">
        <f t="shared" si="0"/>
        <v>0.7153069806560135</v>
      </c>
      <c r="F14" s="63">
        <f t="shared" si="1"/>
        <v>0.2846930193439865</v>
      </c>
      <c r="G14" s="62">
        <f t="shared" si="2"/>
        <v>0.031321184510250566</v>
      </c>
      <c r="H14" s="47">
        <f t="shared" si="3"/>
        <v>9.723049704075615</v>
      </c>
      <c r="J14" s="10" t="s">
        <v>388</v>
      </c>
      <c r="K14" s="14">
        <v>7000</v>
      </c>
      <c r="L14" s="10" t="s">
        <v>389</v>
      </c>
    </row>
    <row r="15" spans="1:12" ht="12.75">
      <c r="A15" s="67">
        <v>12000</v>
      </c>
      <c r="B15" s="35">
        <v>19.02</v>
      </c>
      <c r="C15" s="35">
        <v>16.2</v>
      </c>
      <c r="D15" s="35">
        <v>0.001648</v>
      </c>
      <c r="E15" s="62">
        <f t="shared" si="0"/>
        <v>0.6930193439865433</v>
      </c>
      <c r="F15" s="63">
        <f t="shared" si="1"/>
        <v>0.3069806560134567</v>
      </c>
      <c r="G15" s="62">
        <f t="shared" si="2"/>
        <v>0.031158142269253397</v>
      </c>
      <c r="H15" s="47">
        <f t="shared" si="3"/>
        <v>9.348903246807296</v>
      </c>
      <c r="J15" s="10" t="s">
        <v>390</v>
      </c>
      <c r="K15" s="12">
        <f>(K12*0.5*K14*K13)/1728</f>
        <v>434.9074074074074</v>
      </c>
      <c r="L15" s="10" t="s">
        <v>90</v>
      </c>
    </row>
    <row r="16" spans="1:18" ht="13.5" thickBot="1">
      <c r="A16" s="67">
        <v>13000</v>
      </c>
      <c r="B16" s="35">
        <v>18.29</v>
      </c>
      <c r="C16" s="35">
        <v>12.6</v>
      </c>
      <c r="D16" s="35">
        <v>0.001596</v>
      </c>
      <c r="E16" s="62">
        <f t="shared" si="0"/>
        <v>0.671152228763667</v>
      </c>
      <c r="F16" s="63">
        <f t="shared" si="1"/>
        <v>0.328847771236333</v>
      </c>
      <c r="G16" s="62">
        <f t="shared" si="2"/>
        <v>0.03155339805825241</v>
      </c>
      <c r="H16" s="47">
        <f t="shared" si="3"/>
        <v>8.986501234319473</v>
      </c>
      <c r="J16" s="48" t="s">
        <v>391</v>
      </c>
      <c r="K16" s="48">
        <f>K4</f>
        <v>6</v>
      </c>
      <c r="L16" s="48" t="s">
        <v>1238</v>
      </c>
      <c r="Q16" t="s">
        <v>208</v>
      </c>
      <c r="R16" s="56">
        <v>0.33</v>
      </c>
    </row>
    <row r="17" spans="1:18" ht="12.75">
      <c r="A17" s="67">
        <v>14000</v>
      </c>
      <c r="B17" s="35">
        <v>17.57</v>
      </c>
      <c r="C17" s="35">
        <v>9.1</v>
      </c>
      <c r="D17" s="35">
        <v>0.001545</v>
      </c>
      <c r="E17" s="62">
        <f t="shared" si="0"/>
        <v>0.6497056349873843</v>
      </c>
      <c r="F17" s="63">
        <f t="shared" si="1"/>
        <v>0.3502943650126157</v>
      </c>
      <c r="G17" s="62">
        <f t="shared" si="2"/>
        <v>0.03195488721804518</v>
      </c>
      <c r="H17" s="47">
        <f t="shared" si="3"/>
        <v>8.63555952380244</v>
      </c>
      <c r="J17" s="85" t="s">
        <v>392</v>
      </c>
      <c r="K17" s="92">
        <f>(14.7+K16)/14.7</f>
        <v>1.4081632653061225</v>
      </c>
      <c r="L17" s="92"/>
      <c r="M17" s="107" t="s">
        <v>207</v>
      </c>
      <c r="N17" s="107"/>
      <c r="O17" s="139"/>
      <c r="Q17" t="s">
        <v>651</v>
      </c>
      <c r="R17" t="s">
        <v>794</v>
      </c>
    </row>
    <row r="18" spans="1:18" ht="12.75">
      <c r="A18" s="67">
        <v>15000</v>
      </c>
      <c r="B18" s="35">
        <v>16.88</v>
      </c>
      <c r="C18" s="35">
        <v>5.5</v>
      </c>
      <c r="D18" s="35">
        <v>0.001496</v>
      </c>
      <c r="E18" s="62">
        <f t="shared" si="0"/>
        <v>0.6291000841042893</v>
      </c>
      <c r="F18" s="63">
        <f t="shared" si="1"/>
        <v>0.3708999158957107</v>
      </c>
      <c r="G18" s="62">
        <f t="shared" si="2"/>
        <v>0.03171521035598701</v>
      </c>
      <c r="H18" s="47">
        <f t="shared" si="3"/>
        <v>8.295798771472889</v>
      </c>
      <c r="J18" s="87" t="s">
        <v>393</v>
      </c>
      <c r="K18" s="10">
        <f>K15*K17</f>
        <v>612.4206349206349</v>
      </c>
      <c r="L18" s="10" t="s">
        <v>394</v>
      </c>
      <c r="M18" s="10" t="s">
        <v>393</v>
      </c>
      <c r="N18" s="16">
        <f>K15*K17/2</f>
        <v>306.21031746031747</v>
      </c>
      <c r="O18" s="88" t="s">
        <v>394</v>
      </c>
      <c r="Q18">
        <v>600</v>
      </c>
      <c r="R18" s="52">
        <f aca="true" t="shared" si="4" ref="R18:R65">($K$12*0.5*Q18*$K$13*$K$20*0.0735)/1728</f>
        <v>3.410916666666666</v>
      </c>
    </row>
    <row r="19" spans="1:18" ht="13.5" thickBot="1">
      <c r="A19" s="67">
        <v>16000</v>
      </c>
      <c r="B19" s="35">
        <v>16.21</v>
      </c>
      <c r="C19" s="35">
        <v>1.9</v>
      </c>
      <c r="D19" s="35">
        <v>0.001448</v>
      </c>
      <c r="E19" s="62">
        <f t="shared" si="0"/>
        <v>0.6089150546677881</v>
      </c>
      <c r="F19" s="63">
        <f t="shared" si="1"/>
        <v>0.39108494533221194</v>
      </c>
      <c r="G19" s="62">
        <f t="shared" si="2"/>
        <v>0.03208556149732611</v>
      </c>
      <c r="H19" s="47">
        <f t="shared" si="3"/>
        <v>7.96694438710526</v>
      </c>
      <c r="J19" s="89" t="s">
        <v>393</v>
      </c>
      <c r="K19" s="90">
        <f>K18*0.0735</f>
        <v>45.01291666666666</v>
      </c>
      <c r="L19" s="93" t="s">
        <v>794</v>
      </c>
      <c r="M19" s="93" t="s">
        <v>393</v>
      </c>
      <c r="N19" s="90">
        <f>N18*0.0735</f>
        <v>22.50645833333333</v>
      </c>
      <c r="O19" s="91" t="s">
        <v>794</v>
      </c>
      <c r="Q19">
        <v>800</v>
      </c>
      <c r="R19" s="52">
        <f t="shared" si="4"/>
        <v>4.547888888888888</v>
      </c>
    </row>
    <row r="20" spans="1:18" ht="12.75">
      <c r="A20" s="67">
        <v>17000</v>
      </c>
      <c r="B20" s="35">
        <v>15.56</v>
      </c>
      <c r="C20" s="35">
        <v>-1.6</v>
      </c>
      <c r="D20" s="35">
        <v>0.001401</v>
      </c>
      <c r="E20" s="62">
        <f t="shared" si="0"/>
        <v>0.5891505466778806</v>
      </c>
      <c r="F20" s="63">
        <f t="shared" si="1"/>
        <v>0.4108494533221194</v>
      </c>
      <c r="G20" s="62">
        <f t="shared" si="2"/>
        <v>0.0324585635359117</v>
      </c>
      <c r="H20" s="47">
        <f t="shared" si="3"/>
        <v>7.648726488651656</v>
      </c>
      <c r="J20" s="85" t="s">
        <v>795</v>
      </c>
      <c r="K20" s="86">
        <f>(14.7+K16*K6)/14.7</f>
        <v>1.2448979591836733</v>
      </c>
      <c r="L20" s="92"/>
      <c r="M20" s="107" t="s">
        <v>207</v>
      </c>
      <c r="N20" s="107"/>
      <c r="O20" s="139"/>
      <c r="Q20">
        <v>1000</v>
      </c>
      <c r="R20" s="52">
        <f t="shared" si="4"/>
        <v>5.68486111111111</v>
      </c>
    </row>
    <row r="21" spans="1:18" ht="12.75">
      <c r="A21" s="67">
        <v>18000</v>
      </c>
      <c r="B21" s="35">
        <v>14.94</v>
      </c>
      <c r="C21" s="35">
        <v>-5.2</v>
      </c>
      <c r="D21" s="35">
        <v>0.001355</v>
      </c>
      <c r="E21" s="62">
        <f t="shared" si="0"/>
        <v>0.5698065601345669</v>
      </c>
      <c r="F21" s="63">
        <f t="shared" si="1"/>
        <v>0.4301934398654331</v>
      </c>
      <c r="G21" s="62">
        <f t="shared" si="2"/>
        <v>0.03283369022127036</v>
      </c>
      <c r="H21" s="47">
        <f t="shared" si="3"/>
        <v>7.340879856950701</v>
      </c>
      <c r="J21" s="87" t="s">
        <v>393</v>
      </c>
      <c r="K21" s="12">
        <f>K15*K20</f>
        <v>541.4153439153438</v>
      </c>
      <c r="L21" s="10" t="s">
        <v>394</v>
      </c>
      <c r="M21" s="10" t="s">
        <v>393</v>
      </c>
      <c r="N21" s="12">
        <f>K15*K20/2</f>
        <v>270.7076719576719</v>
      </c>
      <c r="O21" s="88" t="s">
        <v>394</v>
      </c>
      <c r="Q21">
        <v>1200</v>
      </c>
      <c r="R21" s="52">
        <f t="shared" si="4"/>
        <v>6.821833333333332</v>
      </c>
    </row>
    <row r="22" spans="1:18" ht="13.5" thickBot="1">
      <c r="A22" s="67">
        <v>19000</v>
      </c>
      <c r="B22" s="35">
        <v>14.33</v>
      </c>
      <c r="C22" s="35">
        <v>-8.8</v>
      </c>
      <c r="D22" s="35">
        <v>0.00131</v>
      </c>
      <c r="E22" s="62">
        <f t="shared" si="0"/>
        <v>0.5508830950378469</v>
      </c>
      <c r="F22" s="63">
        <f t="shared" si="1"/>
        <v>0.44911690496215306</v>
      </c>
      <c r="G22" s="62">
        <f t="shared" si="2"/>
        <v>0.03321033210332114</v>
      </c>
      <c r="H22" s="47">
        <f t="shared" si="3"/>
        <v>7.043143890525976</v>
      </c>
      <c r="J22" s="89" t="s">
        <v>393</v>
      </c>
      <c r="K22" s="90">
        <f>K21*0.0735</f>
        <v>39.794027777777764</v>
      </c>
      <c r="L22" s="93" t="s">
        <v>794</v>
      </c>
      <c r="M22" s="93" t="s">
        <v>393</v>
      </c>
      <c r="N22" s="90">
        <f>N21*0.0735</f>
        <v>19.897013888888882</v>
      </c>
      <c r="O22" s="91" t="s">
        <v>794</v>
      </c>
      <c r="Q22">
        <v>1400</v>
      </c>
      <c r="R22" s="52">
        <f t="shared" si="4"/>
        <v>7.958805555555555</v>
      </c>
    </row>
    <row r="23" spans="1:18" ht="12.75">
      <c r="A23" s="67">
        <v>20000</v>
      </c>
      <c r="B23" s="35">
        <v>13.74</v>
      </c>
      <c r="C23" s="35">
        <v>-12.3</v>
      </c>
      <c r="D23" s="35">
        <v>0.001267</v>
      </c>
      <c r="E23" s="62">
        <f t="shared" si="0"/>
        <v>0.5328006728343145</v>
      </c>
      <c r="F23" s="63">
        <f t="shared" si="1"/>
        <v>0.46719932716568546</v>
      </c>
      <c r="G23" s="62">
        <f t="shared" si="2"/>
        <v>0.032824427480916074</v>
      </c>
      <c r="H23" s="47">
        <f t="shared" si="3"/>
        <v>6.755262560474435</v>
      </c>
      <c r="Q23">
        <v>1600</v>
      </c>
      <c r="R23" s="52">
        <f t="shared" si="4"/>
        <v>9.095777777777776</v>
      </c>
    </row>
    <row r="24" spans="10:18" ht="12.75">
      <c r="J24" s="10" t="s">
        <v>1225</v>
      </c>
      <c r="K24" s="14">
        <v>5200</v>
      </c>
      <c r="L24" s="10" t="s">
        <v>389</v>
      </c>
      <c r="M24" s="10" t="s">
        <v>1234</v>
      </c>
      <c r="N24" s="14">
        <v>244</v>
      </c>
      <c r="O24" s="10" t="s">
        <v>1099</v>
      </c>
      <c r="Q24">
        <v>1800</v>
      </c>
      <c r="R24" s="52">
        <f t="shared" si="4"/>
        <v>10.23275</v>
      </c>
    </row>
    <row r="25" spans="10:18" ht="12.75">
      <c r="J25" s="10" t="s">
        <v>1226</v>
      </c>
      <c r="K25" s="14">
        <v>2.8</v>
      </c>
      <c r="L25" s="10"/>
      <c r="M25" s="10" t="s">
        <v>1100</v>
      </c>
      <c r="N25" s="32">
        <v>0.77</v>
      </c>
      <c r="O25" s="10"/>
      <c r="Q25">
        <v>2000</v>
      </c>
      <c r="R25" s="52">
        <f t="shared" si="4"/>
        <v>11.36972222222222</v>
      </c>
    </row>
    <row r="26" spans="10:18" ht="12.75">
      <c r="J26" s="10" t="s">
        <v>1227</v>
      </c>
      <c r="K26" s="10">
        <f>K24*K25</f>
        <v>14559.999999999998</v>
      </c>
      <c r="L26" s="10" t="s">
        <v>389</v>
      </c>
      <c r="M26" s="10" t="s">
        <v>1235</v>
      </c>
      <c r="N26" s="12">
        <f>(N24*0.5*K24*N25)/1728</f>
        <v>282.68981481481484</v>
      </c>
      <c r="O26" s="10" t="s">
        <v>90</v>
      </c>
      <c r="Q26">
        <v>2200</v>
      </c>
      <c r="R26" s="52">
        <f t="shared" si="4"/>
        <v>12.506694444444442</v>
      </c>
    </row>
    <row r="27" spans="10:18" ht="12.75">
      <c r="J27" s="10" t="s">
        <v>1239</v>
      </c>
      <c r="K27" s="14">
        <v>62</v>
      </c>
      <c r="L27" s="10">
        <f>K27*0.0005787037</f>
        <v>0.0358796294</v>
      </c>
      <c r="M27" s="10" t="s">
        <v>1236</v>
      </c>
      <c r="N27" s="16">
        <f>(14.7+N28)/14.7</f>
        <v>1.5707898558187776</v>
      </c>
      <c r="O27" s="10"/>
      <c r="Q27">
        <v>2400</v>
      </c>
      <c r="R27" s="52">
        <f t="shared" si="4"/>
        <v>13.643666666666665</v>
      </c>
    </row>
    <row r="28" spans="10:18" ht="13.5" thickBot="1">
      <c r="J28" s="10" t="s">
        <v>1228</v>
      </c>
      <c r="K28" s="10">
        <f>K26*L27</f>
        <v>522.4074040639999</v>
      </c>
      <c r="L28" s="10" t="s">
        <v>90</v>
      </c>
      <c r="M28" s="48" t="s">
        <v>1237</v>
      </c>
      <c r="N28" s="49">
        <f>(K30*14.7)/N26-14.7</f>
        <v>8.39061088053603</v>
      </c>
      <c r="O28" s="48" t="s">
        <v>1238</v>
      </c>
      <c r="Q28">
        <v>2600</v>
      </c>
      <c r="R28" s="52">
        <f t="shared" si="4"/>
        <v>14.780638888888886</v>
      </c>
    </row>
    <row r="29" spans="10:18" ht="12.75">
      <c r="J29" s="10" t="s">
        <v>206</v>
      </c>
      <c r="K29" s="32">
        <v>0.85</v>
      </c>
      <c r="L29" s="84" t="s">
        <v>1230</v>
      </c>
      <c r="M29" s="138" t="s">
        <v>618</v>
      </c>
      <c r="N29" s="102"/>
      <c r="O29" s="103"/>
      <c r="Q29">
        <v>2800</v>
      </c>
      <c r="R29" s="52">
        <f t="shared" si="4"/>
        <v>15.91761111111111</v>
      </c>
    </row>
    <row r="30" spans="10:18" ht="13.5" thickBot="1">
      <c r="J30" s="10" t="s">
        <v>1229</v>
      </c>
      <c r="K30" s="10">
        <f>K28*K29</f>
        <v>444.0462934543999</v>
      </c>
      <c r="L30" s="84" t="s">
        <v>90</v>
      </c>
      <c r="M30" s="104"/>
      <c r="N30" s="105"/>
      <c r="O30" s="106"/>
      <c r="Q30">
        <v>3000</v>
      </c>
      <c r="R30" s="52">
        <f t="shared" si="4"/>
        <v>17.05458333333333</v>
      </c>
    </row>
    <row r="31" spans="17:18" ht="12.75">
      <c r="Q31">
        <v>3200</v>
      </c>
      <c r="R31" s="52">
        <f t="shared" si="4"/>
        <v>18.191555555555553</v>
      </c>
    </row>
    <row r="32" spans="10:18" ht="12.75">
      <c r="J32" s="10" t="s">
        <v>1231</v>
      </c>
      <c r="K32" s="14">
        <v>5.6</v>
      </c>
      <c r="L32" s="10" t="s">
        <v>619</v>
      </c>
      <c r="M32" s="10" t="s">
        <v>970</v>
      </c>
      <c r="N32" s="14">
        <v>0.65</v>
      </c>
      <c r="O32" s="10" t="s">
        <v>980</v>
      </c>
      <c r="Q32">
        <v>3400</v>
      </c>
      <c r="R32" s="52">
        <f t="shared" si="4"/>
        <v>19.328527777777776</v>
      </c>
    </row>
    <row r="33" spans="10:18" ht="12.75">
      <c r="J33" s="10" t="s">
        <v>1233</v>
      </c>
      <c r="K33" s="14">
        <v>2</v>
      </c>
      <c r="L33" s="10" t="s">
        <v>1232</v>
      </c>
      <c r="M33" s="10" t="s">
        <v>1454</v>
      </c>
      <c r="N33" s="14">
        <v>205</v>
      </c>
      <c r="O33" s="10" t="s">
        <v>134</v>
      </c>
      <c r="Q33">
        <v>3600</v>
      </c>
      <c r="R33" s="52">
        <f t="shared" si="4"/>
        <v>20.4655</v>
      </c>
    </row>
    <row r="34" spans="10:18" ht="12.75">
      <c r="J34" s="10" t="s">
        <v>1226</v>
      </c>
      <c r="K34" s="10">
        <f>K32/K33</f>
        <v>2.8</v>
      </c>
      <c r="L34" s="10"/>
      <c r="M34" s="10" t="s">
        <v>88</v>
      </c>
      <c r="N34" s="14">
        <v>9.8</v>
      </c>
      <c r="O34" s="10" t="s">
        <v>133</v>
      </c>
      <c r="Q34">
        <v>3800</v>
      </c>
      <c r="R34" s="52">
        <f t="shared" si="4"/>
        <v>21.602472222222218</v>
      </c>
    </row>
    <row r="35" spans="13:18" ht="12.75">
      <c r="M35" s="10" t="s">
        <v>89</v>
      </c>
      <c r="N35" s="12">
        <f>N32*N33*N34</f>
        <v>1305.8500000000001</v>
      </c>
      <c r="O35" s="10" t="s">
        <v>107</v>
      </c>
      <c r="Q35">
        <v>4000</v>
      </c>
      <c r="R35" s="52">
        <f t="shared" si="4"/>
        <v>22.73944444444444</v>
      </c>
    </row>
    <row r="36" spans="13:18" ht="12.75">
      <c r="M36" s="10" t="s">
        <v>89</v>
      </c>
      <c r="N36" s="12">
        <f>(N35/(0.0735))/60</f>
        <v>296.11111111111114</v>
      </c>
      <c r="O36" s="10" t="s">
        <v>90</v>
      </c>
      <c r="Q36">
        <v>4200</v>
      </c>
      <c r="R36" s="52">
        <f t="shared" si="4"/>
        <v>23.876416666666664</v>
      </c>
    </row>
    <row r="37" spans="13:18" ht="12.75">
      <c r="M37" s="10" t="s">
        <v>89</v>
      </c>
      <c r="N37" s="12">
        <f>N35/60</f>
        <v>21.764166666666668</v>
      </c>
      <c r="O37" s="10" t="s">
        <v>794</v>
      </c>
      <c r="Q37">
        <v>4400</v>
      </c>
      <c r="R37" s="52">
        <f t="shared" si="4"/>
        <v>25.013388888888883</v>
      </c>
    </row>
    <row r="38" spans="13:18" ht="12.75">
      <c r="M38" s="10" t="s">
        <v>160</v>
      </c>
      <c r="N38" s="14">
        <v>244</v>
      </c>
      <c r="O38" s="10" t="s">
        <v>1099</v>
      </c>
      <c r="Q38">
        <v>4600</v>
      </c>
      <c r="R38" s="52">
        <f t="shared" si="4"/>
        <v>26.150361111111106</v>
      </c>
    </row>
    <row r="39" spans="13:18" ht="12.75">
      <c r="M39" s="10" t="s">
        <v>651</v>
      </c>
      <c r="N39" s="14">
        <v>6000</v>
      </c>
      <c r="O39" s="10"/>
      <c r="Q39">
        <v>4800</v>
      </c>
      <c r="R39" s="52">
        <f t="shared" si="4"/>
        <v>27.28733333333333</v>
      </c>
    </row>
    <row r="40" spans="13:18" ht="12.75">
      <c r="M40" s="10" t="s">
        <v>1100</v>
      </c>
      <c r="N40" s="53">
        <f>(N36*3456)/(N38*N39)</f>
        <v>0.699016393442623</v>
      </c>
      <c r="O40" s="10"/>
      <c r="Q40">
        <v>5000</v>
      </c>
      <c r="R40" s="52">
        <f t="shared" si="4"/>
        <v>28.42430555555555</v>
      </c>
    </row>
    <row r="41" spans="13:18" ht="12.75">
      <c r="M41" s="10" t="s">
        <v>938</v>
      </c>
      <c r="N41" s="10">
        <f>N34/14.64</f>
        <v>0.6693989071038252</v>
      </c>
      <c r="O41" s="10"/>
      <c r="Q41">
        <v>5200</v>
      </c>
      <c r="R41" s="52">
        <f t="shared" si="4"/>
        <v>29.56127777777777</v>
      </c>
    </row>
    <row r="42" spans="17:18" ht="12.75">
      <c r="Q42">
        <v>5400</v>
      </c>
      <c r="R42" s="52">
        <f t="shared" si="4"/>
        <v>30.698249999999998</v>
      </c>
    </row>
    <row r="43" spans="10:18" ht="13.5" thickBot="1">
      <c r="J43" s="35" t="s">
        <v>60</v>
      </c>
      <c r="K43" s="95">
        <v>5200</v>
      </c>
      <c r="L43" s="61"/>
      <c r="Q43">
        <v>5600</v>
      </c>
      <c r="R43" s="52">
        <f t="shared" si="4"/>
        <v>31.83522222222222</v>
      </c>
    </row>
    <row r="44" spans="10:18" ht="13.5" thickBot="1">
      <c r="J44" s="35" t="s">
        <v>61</v>
      </c>
      <c r="K44" s="95">
        <v>5.6</v>
      </c>
      <c r="L44" s="61"/>
      <c r="M44" s="135" t="s">
        <v>479</v>
      </c>
      <c r="N44" s="136"/>
      <c r="O44" s="137"/>
      <c r="Q44">
        <v>5800</v>
      </c>
      <c r="R44" s="52">
        <f t="shared" si="4"/>
        <v>32.97219444444444</v>
      </c>
    </row>
    <row r="45" spans="1:18" ht="12.75">
      <c r="A45" s="70" t="s">
        <v>611</v>
      </c>
      <c r="B45"/>
      <c r="C45"/>
      <c r="D45"/>
      <c r="E45"/>
      <c r="F45"/>
      <c r="G45"/>
      <c r="J45" s="35" t="s">
        <v>62</v>
      </c>
      <c r="K45" s="35" t="s">
        <v>63</v>
      </c>
      <c r="L45" s="96" t="s">
        <v>64</v>
      </c>
      <c r="M45" s="99" t="s">
        <v>89</v>
      </c>
      <c r="N45" s="97">
        <f>N46*1731.8</f>
        <v>173180</v>
      </c>
      <c r="O45" s="100" t="s">
        <v>478</v>
      </c>
      <c r="Q45">
        <v>6000</v>
      </c>
      <c r="R45" s="52">
        <f t="shared" si="4"/>
        <v>34.10916666666666</v>
      </c>
    </row>
    <row r="46" spans="1:18" ht="12.75">
      <c r="A46"/>
      <c r="B46"/>
      <c r="C46"/>
      <c r="D46"/>
      <c r="E46"/>
      <c r="F46"/>
      <c r="G46"/>
      <c r="J46" s="95">
        <v>2.5</v>
      </c>
      <c r="K46" s="47">
        <f aca="true" t="shared" si="5" ref="K46:K52">$K$44/J46</f>
        <v>2.2399999999999998</v>
      </c>
      <c r="L46" s="98">
        <f aca="true" t="shared" si="6" ref="L46:L52">$K$43*K46</f>
        <v>11647.999999999998</v>
      </c>
      <c r="M46" s="87"/>
      <c r="N46" s="54">
        <v>100</v>
      </c>
      <c r="O46" s="88" t="s">
        <v>90</v>
      </c>
      <c r="Q46">
        <v>6200</v>
      </c>
      <c r="R46" s="52">
        <f t="shared" si="4"/>
        <v>35.246138888888886</v>
      </c>
    </row>
    <row r="47" spans="1:18" ht="12.75">
      <c r="A47"/>
      <c r="B47" s="70" t="s">
        <v>608</v>
      </c>
      <c r="C47"/>
      <c r="D47"/>
      <c r="E47"/>
      <c r="F47"/>
      <c r="G47"/>
      <c r="J47" s="95">
        <v>2.4</v>
      </c>
      <c r="K47" s="47">
        <f t="shared" si="5"/>
        <v>2.3333333333333335</v>
      </c>
      <c r="L47" s="98">
        <f t="shared" si="6"/>
        <v>12133.333333333334</v>
      </c>
      <c r="M47" s="87" t="s">
        <v>89</v>
      </c>
      <c r="N47" s="10">
        <f>N48/1731.8</f>
        <v>99.89606190091234</v>
      </c>
      <c r="O47" s="88" t="s">
        <v>90</v>
      </c>
      <c r="Q47">
        <v>6400</v>
      </c>
      <c r="R47" s="52">
        <f t="shared" si="4"/>
        <v>36.383111111111106</v>
      </c>
    </row>
    <row r="48" spans="1:18" ht="13.5" thickBot="1">
      <c r="A48" s="70" t="s">
        <v>509</v>
      </c>
      <c r="B48" s="70" t="s">
        <v>510</v>
      </c>
      <c r="C48" s="70" t="s">
        <v>609</v>
      </c>
      <c r="D48" s="70" t="s">
        <v>609</v>
      </c>
      <c r="E48" s="70" t="s">
        <v>609</v>
      </c>
      <c r="F48" s="70" t="s">
        <v>609</v>
      </c>
      <c r="G48" s="70" t="s">
        <v>609</v>
      </c>
      <c r="J48" s="95">
        <v>2.3</v>
      </c>
      <c r="K48" s="47">
        <f t="shared" si="5"/>
        <v>2.4347826086956523</v>
      </c>
      <c r="L48" s="98">
        <f t="shared" si="6"/>
        <v>12660.869565217392</v>
      </c>
      <c r="M48" s="89"/>
      <c r="N48" s="101">
        <v>173000</v>
      </c>
      <c r="O48" s="91" t="s">
        <v>478</v>
      </c>
      <c r="Q48">
        <v>6600</v>
      </c>
      <c r="R48" s="52">
        <f t="shared" si="4"/>
        <v>37.520083333333325</v>
      </c>
    </row>
    <row r="49" spans="1:18" ht="12.75">
      <c r="A49" s="71" t="s">
        <v>610</v>
      </c>
      <c r="B49" s="70" t="s">
        <v>410</v>
      </c>
      <c r="C49" s="70" t="s">
        <v>612</v>
      </c>
      <c r="D49" s="72">
        <v>10000</v>
      </c>
      <c r="E49" s="70" t="s">
        <v>613</v>
      </c>
      <c r="F49" s="70" t="s">
        <v>614</v>
      </c>
      <c r="G49" s="70" t="s">
        <v>615</v>
      </c>
      <c r="J49" s="95">
        <v>2.2</v>
      </c>
      <c r="K49" s="47">
        <f t="shared" si="5"/>
        <v>2.545454545454545</v>
      </c>
      <c r="L49" s="6">
        <f t="shared" si="6"/>
        <v>13236.363636363634</v>
      </c>
      <c r="Q49">
        <v>6800</v>
      </c>
      <c r="R49" s="52">
        <f t="shared" si="4"/>
        <v>38.65705555555555</v>
      </c>
    </row>
    <row r="50" spans="1:18" ht="12.75">
      <c r="A50" s="73">
        <v>0</v>
      </c>
      <c r="B50" s="74">
        <v>101</v>
      </c>
      <c r="C50" s="70"/>
      <c r="D50" s="72"/>
      <c r="E50" s="70"/>
      <c r="F50" s="70"/>
      <c r="G50" s="70"/>
      <c r="J50" s="95">
        <v>2.1</v>
      </c>
      <c r="K50" s="47">
        <f t="shared" si="5"/>
        <v>2.6666666666666665</v>
      </c>
      <c r="L50" s="6">
        <f t="shared" si="6"/>
        <v>13866.666666666666</v>
      </c>
      <c r="Q50">
        <v>7000</v>
      </c>
      <c r="R50" s="52">
        <f t="shared" si="4"/>
        <v>39.79402777777777</v>
      </c>
    </row>
    <row r="51" spans="1:18" ht="12.75">
      <c r="A51" s="73">
        <v>4784</v>
      </c>
      <c r="B51" s="75">
        <v>85</v>
      </c>
      <c r="C51" s="73">
        <v>100</v>
      </c>
      <c r="D51" s="73">
        <v>100</v>
      </c>
      <c r="E51" s="73">
        <v>100</v>
      </c>
      <c r="F51" s="73">
        <v>100</v>
      </c>
      <c r="G51" s="73">
        <v>100</v>
      </c>
      <c r="J51" s="95">
        <v>2</v>
      </c>
      <c r="K51" s="47">
        <f t="shared" si="5"/>
        <v>2.8</v>
      </c>
      <c r="L51" s="6">
        <f t="shared" si="6"/>
        <v>14559.999999999998</v>
      </c>
      <c r="Q51">
        <v>7200</v>
      </c>
      <c r="R51" s="52">
        <f t="shared" si="4"/>
        <v>40.931</v>
      </c>
    </row>
    <row r="52" spans="1:18" ht="12.75">
      <c r="A52" s="73">
        <v>5113</v>
      </c>
      <c r="B52" s="75">
        <v>84</v>
      </c>
      <c r="C52" s="73">
        <v>100</v>
      </c>
      <c r="D52" s="73">
        <v>100</v>
      </c>
      <c r="E52" s="73">
        <v>100</v>
      </c>
      <c r="F52" s="73">
        <v>100</v>
      </c>
      <c r="G52" s="73">
        <v>100</v>
      </c>
      <c r="J52" s="95">
        <v>1.9</v>
      </c>
      <c r="K52" s="47">
        <f t="shared" si="5"/>
        <v>2.9473684210526314</v>
      </c>
      <c r="L52" s="6">
        <f t="shared" si="6"/>
        <v>15326.315789473683</v>
      </c>
      <c r="Q52">
        <v>7400</v>
      </c>
      <c r="R52" s="52">
        <f t="shared" si="4"/>
        <v>42.06797222222222</v>
      </c>
    </row>
    <row r="53" spans="1:18" ht="12.75">
      <c r="A53" s="73">
        <v>5445</v>
      </c>
      <c r="B53" s="75">
        <v>83</v>
      </c>
      <c r="C53" s="73">
        <v>100</v>
      </c>
      <c r="D53" s="73">
        <v>100</v>
      </c>
      <c r="E53" s="73">
        <v>100</v>
      </c>
      <c r="F53" s="73">
        <v>100</v>
      </c>
      <c r="G53" s="73">
        <v>100</v>
      </c>
      <c r="Q53">
        <v>7600</v>
      </c>
      <c r="R53" s="52">
        <f t="shared" si="4"/>
        <v>43.204944444444436</v>
      </c>
    </row>
    <row r="54" spans="1:18" ht="12.75">
      <c r="A54" s="73">
        <v>5780</v>
      </c>
      <c r="B54" s="75">
        <v>82</v>
      </c>
      <c r="C54" s="73">
        <v>100</v>
      </c>
      <c r="D54" s="73">
        <v>100</v>
      </c>
      <c r="E54" s="73">
        <v>100</v>
      </c>
      <c r="F54" s="73">
        <v>100</v>
      </c>
      <c r="G54" s="73">
        <v>100</v>
      </c>
      <c r="Q54">
        <v>7800</v>
      </c>
      <c r="R54" s="52">
        <f t="shared" si="4"/>
        <v>44.34191666666666</v>
      </c>
    </row>
    <row r="55" spans="1:18" ht="12.75">
      <c r="A55" s="73">
        <v>6118</v>
      </c>
      <c r="B55" s="75">
        <v>81</v>
      </c>
      <c r="C55" s="73">
        <v>100</v>
      </c>
      <c r="D55" s="73">
        <v>100</v>
      </c>
      <c r="E55" s="73">
        <v>100</v>
      </c>
      <c r="F55" s="73">
        <v>100</v>
      </c>
      <c r="G55" s="73">
        <v>100</v>
      </c>
      <c r="Q55">
        <v>8000</v>
      </c>
      <c r="R55" s="52">
        <f t="shared" si="4"/>
        <v>45.47888888888888</v>
      </c>
    </row>
    <row r="56" spans="1:18" ht="12.75">
      <c r="A56" s="73">
        <v>6459</v>
      </c>
      <c r="B56" s="75">
        <v>80</v>
      </c>
      <c r="C56" s="73">
        <v>100</v>
      </c>
      <c r="D56" s="73">
        <v>100</v>
      </c>
      <c r="E56" s="73">
        <v>100</v>
      </c>
      <c r="F56" s="73">
        <v>100</v>
      </c>
      <c r="G56" s="73">
        <v>100</v>
      </c>
      <c r="Q56">
        <v>8200</v>
      </c>
      <c r="R56" s="52">
        <f t="shared" si="4"/>
        <v>46.6158611111111</v>
      </c>
    </row>
    <row r="57" spans="1:18" ht="12.75">
      <c r="A57" s="73">
        <v>6803</v>
      </c>
      <c r="B57" s="75">
        <v>79</v>
      </c>
      <c r="C57" s="73">
        <v>100</v>
      </c>
      <c r="D57" s="73">
        <v>100</v>
      </c>
      <c r="E57" s="73">
        <v>100</v>
      </c>
      <c r="F57" s="73">
        <v>100</v>
      </c>
      <c r="G57" s="73">
        <v>100</v>
      </c>
      <c r="Q57">
        <v>8400</v>
      </c>
      <c r="R57" s="52">
        <f t="shared" si="4"/>
        <v>47.75283333333333</v>
      </c>
    </row>
    <row r="58" spans="1:18" ht="12.75">
      <c r="A58" s="73">
        <v>7150</v>
      </c>
      <c r="B58" s="75">
        <v>78</v>
      </c>
      <c r="C58" s="73">
        <v>100</v>
      </c>
      <c r="D58" s="73">
        <v>100</v>
      </c>
      <c r="E58" s="73">
        <v>100</v>
      </c>
      <c r="F58" s="73">
        <v>100</v>
      </c>
      <c r="G58" s="73">
        <v>100</v>
      </c>
      <c r="Q58">
        <v>8600</v>
      </c>
      <c r="R58" s="52">
        <f t="shared" si="4"/>
        <v>48.88980555555554</v>
      </c>
    </row>
    <row r="59" spans="1:18" ht="12.75">
      <c r="A59" s="73">
        <v>7500</v>
      </c>
      <c r="B59" s="75">
        <v>77</v>
      </c>
      <c r="C59" s="73">
        <v>100</v>
      </c>
      <c r="D59" s="73">
        <v>100</v>
      </c>
      <c r="E59" s="73">
        <v>100</v>
      </c>
      <c r="F59" s="73">
        <v>100</v>
      </c>
      <c r="G59" s="73">
        <v>100</v>
      </c>
      <c r="Q59">
        <v>8800</v>
      </c>
      <c r="R59" s="52">
        <f t="shared" si="4"/>
        <v>50.02677777777777</v>
      </c>
    </row>
    <row r="60" spans="1:18" ht="12.75">
      <c r="A60" s="73">
        <v>7853</v>
      </c>
      <c r="B60" s="75">
        <v>76</v>
      </c>
      <c r="C60" s="73">
        <v>99</v>
      </c>
      <c r="D60" s="73">
        <v>100</v>
      </c>
      <c r="E60" s="73">
        <v>100</v>
      </c>
      <c r="F60" s="73">
        <v>100</v>
      </c>
      <c r="G60" s="73">
        <v>100</v>
      </c>
      <c r="Q60">
        <v>9000</v>
      </c>
      <c r="R60" s="52">
        <f t="shared" si="4"/>
        <v>51.163749999999986</v>
      </c>
    </row>
    <row r="61" spans="1:18" ht="12.75">
      <c r="A61" s="73">
        <v>8209</v>
      </c>
      <c r="B61" s="75">
        <v>75</v>
      </c>
      <c r="C61" s="73">
        <v>98</v>
      </c>
      <c r="D61" s="73">
        <v>100</v>
      </c>
      <c r="E61" s="73">
        <v>100</v>
      </c>
      <c r="F61" s="73">
        <v>100</v>
      </c>
      <c r="G61" s="73">
        <v>100</v>
      </c>
      <c r="Q61">
        <v>9200</v>
      </c>
      <c r="R61" s="52">
        <f t="shared" si="4"/>
        <v>52.30072222222221</v>
      </c>
    </row>
    <row r="62" spans="1:18" ht="12.75">
      <c r="A62" s="73">
        <v>8568</v>
      </c>
      <c r="B62" s="75">
        <v>74</v>
      </c>
      <c r="C62" s="73">
        <v>97</v>
      </c>
      <c r="D62" s="73">
        <v>100</v>
      </c>
      <c r="E62" s="73">
        <v>100</v>
      </c>
      <c r="F62" s="73">
        <v>100</v>
      </c>
      <c r="G62" s="73">
        <v>100</v>
      </c>
      <c r="Q62">
        <v>9400</v>
      </c>
      <c r="R62" s="52">
        <f t="shared" si="4"/>
        <v>53.43769444444443</v>
      </c>
    </row>
    <row r="63" spans="1:18" ht="12.75">
      <c r="A63" s="73">
        <v>8930</v>
      </c>
      <c r="B63" s="75">
        <v>73</v>
      </c>
      <c r="C63" s="73">
        <v>96</v>
      </c>
      <c r="D63" s="73">
        <v>100</v>
      </c>
      <c r="E63" s="73">
        <v>100</v>
      </c>
      <c r="F63" s="73">
        <v>100</v>
      </c>
      <c r="G63" s="73">
        <v>100</v>
      </c>
      <c r="Q63">
        <v>9600</v>
      </c>
      <c r="R63" s="52">
        <f t="shared" si="4"/>
        <v>54.57466666666666</v>
      </c>
    </row>
    <row r="64" spans="1:18" ht="12.75">
      <c r="A64" s="73">
        <v>9295</v>
      </c>
      <c r="B64" s="75">
        <v>72</v>
      </c>
      <c r="C64" s="73">
        <v>95</v>
      </c>
      <c r="D64" s="73">
        <v>100</v>
      </c>
      <c r="E64" s="73">
        <v>100</v>
      </c>
      <c r="F64" s="73">
        <v>100</v>
      </c>
      <c r="G64" s="73">
        <v>100</v>
      </c>
      <c r="Q64">
        <v>9800</v>
      </c>
      <c r="R64" s="52">
        <f t="shared" si="4"/>
        <v>55.71163888888887</v>
      </c>
    </row>
    <row r="65" spans="1:18" ht="12.75">
      <c r="A65" s="73">
        <v>9663</v>
      </c>
      <c r="B65" s="75">
        <v>71</v>
      </c>
      <c r="C65" s="73">
        <v>94</v>
      </c>
      <c r="D65" s="73">
        <v>100</v>
      </c>
      <c r="E65" s="73">
        <v>100</v>
      </c>
      <c r="F65" s="73">
        <v>100</v>
      </c>
      <c r="G65" s="73">
        <v>100</v>
      </c>
      <c r="Q65">
        <v>10000</v>
      </c>
      <c r="R65" s="52">
        <f t="shared" si="4"/>
        <v>56.8486111111111</v>
      </c>
    </row>
    <row r="66" spans="1:7" ht="12.75">
      <c r="A66" s="76">
        <v>10034</v>
      </c>
      <c r="B66" s="75">
        <v>70</v>
      </c>
      <c r="C66" s="73">
        <v>93</v>
      </c>
      <c r="D66" s="73">
        <v>100</v>
      </c>
      <c r="E66" s="73">
        <v>100</v>
      </c>
      <c r="F66" s="73">
        <v>100</v>
      </c>
      <c r="G66" s="73">
        <v>100</v>
      </c>
    </row>
    <row r="67" spans="1:7" ht="12.75">
      <c r="A67" s="76">
        <v>10408</v>
      </c>
      <c r="B67" s="75">
        <v>69</v>
      </c>
      <c r="C67" s="73">
        <v>92</v>
      </c>
      <c r="D67" s="73">
        <v>99</v>
      </c>
      <c r="E67" s="73">
        <v>100</v>
      </c>
      <c r="F67" s="73">
        <v>100</v>
      </c>
      <c r="G67" s="73">
        <v>100</v>
      </c>
    </row>
    <row r="68" spans="1:7" ht="12.75">
      <c r="A68" s="76">
        <v>10785</v>
      </c>
      <c r="B68" s="75">
        <v>68</v>
      </c>
      <c r="C68" s="73">
        <v>91</v>
      </c>
      <c r="D68" s="73">
        <v>98</v>
      </c>
      <c r="E68" s="73">
        <v>100</v>
      </c>
      <c r="F68" s="73">
        <v>100</v>
      </c>
      <c r="G68" s="73">
        <v>100</v>
      </c>
    </row>
    <row r="69" spans="1:7" ht="12.75">
      <c r="A69" s="76">
        <v>11165</v>
      </c>
      <c r="B69" s="75">
        <v>67</v>
      </c>
      <c r="C69" s="73">
        <v>90</v>
      </c>
      <c r="D69" s="73">
        <v>97</v>
      </c>
      <c r="E69" s="73">
        <v>100</v>
      </c>
      <c r="F69" s="73">
        <v>100</v>
      </c>
      <c r="G69" s="73">
        <v>100</v>
      </c>
    </row>
    <row r="70" spans="1:7" ht="12.75">
      <c r="A70" s="76">
        <v>11548</v>
      </c>
      <c r="B70" s="75">
        <v>66</v>
      </c>
      <c r="C70" s="73">
        <v>89</v>
      </c>
      <c r="D70" s="73">
        <v>96</v>
      </c>
      <c r="E70" s="73">
        <v>100</v>
      </c>
      <c r="F70" s="73">
        <v>100</v>
      </c>
      <c r="G70" s="73">
        <v>100</v>
      </c>
    </row>
    <row r="71" spans="1:7" ht="12.75">
      <c r="A71" s="76">
        <v>11934</v>
      </c>
      <c r="B71" s="75">
        <v>65</v>
      </c>
      <c r="C71" s="73">
        <v>88</v>
      </c>
      <c r="D71" s="73">
        <v>95</v>
      </c>
      <c r="E71" s="73">
        <v>100</v>
      </c>
      <c r="F71" s="73">
        <v>100</v>
      </c>
      <c r="G71" s="73">
        <v>100</v>
      </c>
    </row>
    <row r="72" spans="1:7" ht="12.75">
      <c r="A72" s="76">
        <v>12232</v>
      </c>
      <c r="B72" s="75">
        <v>64</v>
      </c>
      <c r="C72" s="73">
        <v>87</v>
      </c>
      <c r="D72" s="73">
        <v>94</v>
      </c>
      <c r="E72" s="73">
        <v>100</v>
      </c>
      <c r="F72" s="73">
        <v>100</v>
      </c>
      <c r="G72" s="73">
        <v>100</v>
      </c>
    </row>
    <row r="73" spans="1:7" ht="12.75">
      <c r="A73" s="76">
        <v>12715</v>
      </c>
      <c r="B73" s="75">
        <v>63</v>
      </c>
      <c r="C73" s="73">
        <v>86</v>
      </c>
      <c r="D73" s="73">
        <v>93</v>
      </c>
      <c r="E73" s="73">
        <v>99</v>
      </c>
      <c r="F73" s="73">
        <v>100</v>
      </c>
      <c r="G73" s="73">
        <v>100</v>
      </c>
    </row>
    <row r="74" spans="1:7" ht="12.75">
      <c r="A74" s="76">
        <v>13110</v>
      </c>
      <c r="B74" s="75">
        <v>62</v>
      </c>
      <c r="C74" s="73">
        <v>85</v>
      </c>
      <c r="D74" s="73">
        <v>92</v>
      </c>
      <c r="E74" s="73">
        <v>98</v>
      </c>
      <c r="F74" s="73">
        <v>100</v>
      </c>
      <c r="G74" s="73">
        <v>100</v>
      </c>
    </row>
    <row r="75" spans="1:7" ht="12.75">
      <c r="A75" s="76">
        <v>13508</v>
      </c>
      <c r="B75" s="75">
        <v>61</v>
      </c>
      <c r="C75" s="73">
        <v>84</v>
      </c>
      <c r="D75" s="73">
        <v>91</v>
      </c>
      <c r="E75" s="73">
        <v>97</v>
      </c>
      <c r="F75" s="73">
        <v>100</v>
      </c>
      <c r="G75" s="73">
        <v>100</v>
      </c>
    </row>
    <row r="76" spans="1:7" ht="12.75">
      <c r="A76" s="76">
        <v>13909</v>
      </c>
      <c r="B76" s="75">
        <v>60</v>
      </c>
      <c r="C76" s="73">
        <v>83</v>
      </c>
      <c r="D76" s="73">
        <v>90</v>
      </c>
      <c r="E76" s="73">
        <v>96</v>
      </c>
      <c r="F76" s="73">
        <v>100</v>
      </c>
      <c r="G76" s="73">
        <v>100</v>
      </c>
    </row>
    <row r="77" spans="1:7" ht="12.75">
      <c r="A77" s="76">
        <v>14313</v>
      </c>
      <c r="B77" s="75">
        <v>59</v>
      </c>
      <c r="C77" s="73">
        <v>82</v>
      </c>
      <c r="D77" s="73">
        <v>89</v>
      </c>
      <c r="E77" s="73">
        <v>95</v>
      </c>
      <c r="F77" s="73">
        <v>100</v>
      </c>
      <c r="G77" s="73">
        <v>100</v>
      </c>
    </row>
    <row r="78" spans="1:7" ht="12.75">
      <c r="A78" s="76">
        <v>14720</v>
      </c>
      <c r="B78" s="75">
        <v>58</v>
      </c>
      <c r="C78" s="73">
        <v>81</v>
      </c>
      <c r="D78" s="73">
        <v>88</v>
      </c>
      <c r="E78" s="73">
        <v>94</v>
      </c>
      <c r="F78" s="73">
        <v>100</v>
      </c>
      <c r="G78" s="73">
        <v>100</v>
      </c>
    </row>
    <row r="79" spans="1:7" ht="12.75">
      <c r="A79" s="76">
        <v>15130</v>
      </c>
      <c r="B79" s="75">
        <v>57</v>
      </c>
      <c r="C79" s="73">
        <v>80</v>
      </c>
      <c r="D79" s="73">
        <v>87</v>
      </c>
      <c r="E79" s="73">
        <v>93</v>
      </c>
      <c r="F79" s="73">
        <v>100</v>
      </c>
      <c r="G79" s="73">
        <v>100</v>
      </c>
    </row>
    <row r="80" spans="1:7" ht="12.75">
      <c r="A80" s="76">
        <v>15543</v>
      </c>
      <c r="B80" s="75">
        <v>56</v>
      </c>
      <c r="C80" s="73">
        <v>79</v>
      </c>
      <c r="D80" s="73">
        <v>86</v>
      </c>
      <c r="E80" s="73">
        <v>92</v>
      </c>
      <c r="F80" s="73">
        <v>99</v>
      </c>
      <c r="G80" s="73">
        <v>100</v>
      </c>
    </row>
    <row r="81" spans="1:7" ht="12.75">
      <c r="A81" s="76">
        <v>15959</v>
      </c>
      <c r="B81" s="75">
        <v>55</v>
      </c>
      <c r="C81" s="73">
        <v>78</v>
      </c>
      <c r="D81" s="73">
        <v>85</v>
      </c>
      <c r="E81" s="73">
        <v>91</v>
      </c>
      <c r="F81" s="73">
        <v>98</v>
      </c>
      <c r="G81" s="73">
        <v>100</v>
      </c>
    </row>
    <row r="82" spans="1:7" ht="12.75">
      <c r="A82" s="76">
        <v>16378</v>
      </c>
      <c r="B82" s="75">
        <v>54</v>
      </c>
      <c r="C82" s="73">
        <v>77</v>
      </c>
      <c r="D82" s="73">
        <v>84</v>
      </c>
      <c r="E82" s="73">
        <v>90</v>
      </c>
      <c r="F82" s="73">
        <v>97</v>
      </c>
      <c r="G82" s="73">
        <v>99</v>
      </c>
    </row>
    <row r="83" spans="1:7" ht="12.75">
      <c r="A83" s="76">
        <v>16800</v>
      </c>
      <c r="B83" s="75">
        <v>53</v>
      </c>
      <c r="C83" s="73">
        <v>76</v>
      </c>
      <c r="D83" s="73">
        <v>83</v>
      </c>
      <c r="E83" s="73">
        <v>89</v>
      </c>
      <c r="F83" s="73">
        <v>96</v>
      </c>
      <c r="G83" s="73">
        <v>98</v>
      </c>
    </row>
  </sheetData>
  <mergeCells count="5">
    <mergeCell ref="M44:O44"/>
    <mergeCell ref="J3:N3"/>
    <mergeCell ref="M29:O30"/>
    <mergeCell ref="M17:O17"/>
    <mergeCell ref="M20:O20"/>
  </mergeCells>
  <conditionalFormatting sqref="Q18:Q65">
    <cfRule type="cellIs" priority="1" dxfId="1" operator="between" stopIfTrue="1">
      <formula>$K$14*$R$16+100</formula>
      <formula>$K$14*$R$16-100</formula>
    </cfRule>
  </conditionalFormatting>
  <printOptions/>
  <pageMargins left="0.75" right="0.75" top="1" bottom="1" header="0.5" footer="0.5"/>
  <pageSetup horizontalDpi="300" verticalDpi="3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A3:G15"/>
  <sheetViews>
    <sheetView workbookViewId="0" topLeftCell="A1">
      <selection activeCell="B7" sqref="B7"/>
    </sheetView>
  </sheetViews>
  <sheetFormatPr defaultColWidth="9.140625" defaultRowHeight="12.75"/>
  <cols>
    <col min="1" max="1" width="24.421875" style="0" bestFit="1" customWidth="1"/>
    <col min="4" max="6" width="11.140625" style="0" bestFit="1" customWidth="1"/>
  </cols>
  <sheetData>
    <row r="3" ht="12.75">
      <c r="A3" t="s">
        <v>1461</v>
      </c>
    </row>
    <row r="5" spans="1:6" ht="12.75">
      <c r="A5" s="10" t="s">
        <v>350</v>
      </c>
      <c r="B5" s="14">
        <v>10.9</v>
      </c>
      <c r="C5" s="10" t="s">
        <v>133</v>
      </c>
      <c r="D5" s="10" t="s">
        <v>356</v>
      </c>
      <c r="E5" s="14">
        <v>93</v>
      </c>
      <c r="F5" s="10" t="s">
        <v>607</v>
      </c>
    </row>
    <row r="6" spans="1:3" ht="12.75">
      <c r="A6" s="10" t="s">
        <v>351</v>
      </c>
      <c r="B6" s="14">
        <v>6</v>
      </c>
      <c r="C6" s="10" t="s">
        <v>132</v>
      </c>
    </row>
    <row r="7" spans="1:3" ht="12.75">
      <c r="A7" s="10" t="s">
        <v>352</v>
      </c>
      <c r="B7" s="16">
        <f>((B6/14.7)+1)*B5</f>
        <v>15.348979591836736</v>
      </c>
      <c r="C7" s="10" t="s">
        <v>133</v>
      </c>
    </row>
    <row r="8" spans="1:3" ht="12.75">
      <c r="A8" s="58" t="s">
        <v>353</v>
      </c>
      <c r="B8" s="14">
        <v>9</v>
      </c>
      <c r="C8" s="10"/>
    </row>
    <row r="9" spans="1:7" ht="12.75">
      <c r="A9" s="58" t="s">
        <v>603</v>
      </c>
      <c r="B9" s="16">
        <f>9.03+(39.7-B8)*LN(B7)</f>
        <v>92.87320416865714</v>
      </c>
      <c r="C9" s="10" t="s">
        <v>602</v>
      </c>
      <c r="D9" s="16">
        <f>B9</f>
        <v>92.87320416865714</v>
      </c>
      <c r="E9" s="58" t="s">
        <v>354</v>
      </c>
      <c r="F9" s="12">
        <f>(D9-$E$5)*5/3</f>
        <v>-0.2113263855714346</v>
      </c>
      <c r="G9" s="10" t="s">
        <v>355</v>
      </c>
    </row>
    <row r="10" spans="1:7" ht="12.75">
      <c r="A10" s="58" t="s">
        <v>601</v>
      </c>
      <c r="B10" s="14">
        <v>180</v>
      </c>
      <c r="C10" s="10" t="s">
        <v>590</v>
      </c>
      <c r="D10" s="10"/>
      <c r="E10" s="10" t="s">
        <v>357</v>
      </c>
      <c r="F10" s="16">
        <f>F9/B6</f>
        <v>-0.035221064261905764</v>
      </c>
      <c r="G10" s="10" t="s">
        <v>358</v>
      </c>
    </row>
    <row r="11" spans="1:7" ht="12.75">
      <c r="A11" s="58" t="s">
        <v>606</v>
      </c>
      <c r="B11" s="16">
        <f>(190-B10)/42</f>
        <v>0.23809523809523808</v>
      </c>
      <c r="C11" s="10" t="s">
        <v>602</v>
      </c>
      <c r="D11" s="16">
        <f>B9-B11</f>
        <v>92.6351089305619</v>
      </c>
      <c r="E11" s="58" t="s">
        <v>354</v>
      </c>
      <c r="F11" s="12">
        <f>(D11-$E$5)*5/3</f>
        <v>-0.608151782396836</v>
      </c>
      <c r="G11" s="10" t="s">
        <v>355</v>
      </c>
    </row>
    <row r="12" spans="1:7" ht="12.75">
      <c r="A12" s="58" t="s">
        <v>604</v>
      </c>
      <c r="B12" s="14">
        <v>168</v>
      </c>
      <c r="C12" s="10" t="s">
        <v>590</v>
      </c>
      <c r="D12" s="10"/>
      <c r="E12" s="10" t="s">
        <v>357</v>
      </c>
      <c r="F12" s="16">
        <f>F11/B6</f>
        <v>-0.10135863039947267</v>
      </c>
      <c r="G12" s="10" t="s">
        <v>358</v>
      </c>
    </row>
    <row r="13" spans="1:7" ht="12.75">
      <c r="A13" s="58" t="s">
        <v>605</v>
      </c>
      <c r="B13" s="16">
        <f>(70-B12)/84</f>
        <v>-1.1666666666666667</v>
      </c>
      <c r="C13" s="10" t="s">
        <v>602</v>
      </c>
      <c r="D13" s="16">
        <f>D11-B13</f>
        <v>93.80177559722857</v>
      </c>
      <c r="E13" s="58" t="s">
        <v>354</v>
      </c>
      <c r="F13" s="12">
        <f>(D13-$E$5)*5/3</f>
        <v>1.3362926620476163</v>
      </c>
      <c r="G13" s="10" t="s">
        <v>355</v>
      </c>
    </row>
    <row r="14" spans="1:7" ht="12.75">
      <c r="A14" s="69"/>
      <c r="E14" s="10" t="s">
        <v>357</v>
      </c>
      <c r="F14" s="16">
        <f>F13/B6</f>
        <v>0.22271544367460272</v>
      </c>
      <c r="G14" s="10" t="s">
        <v>358</v>
      </c>
    </row>
    <row r="15" ht="12.75">
      <c r="A15" s="69"/>
    </row>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standard atmosphere</dc:title>
  <dc:subject/>
  <dc:creator>Jim Roal</dc:creator>
  <cp:keywords/>
  <dc:description/>
  <cp:lastModifiedBy>Jim</cp:lastModifiedBy>
  <dcterms:created xsi:type="dcterms:W3CDTF">2001-06-09T01:46:18Z</dcterms:created>
  <dcterms:modified xsi:type="dcterms:W3CDTF">2004-04-26T00:20:10Z</dcterms:modified>
  <cp:category/>
  <cp:version/>
  <cp:contentType/>
  <cp:contentStatus/>
</cp:coreProperties>
</file>